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YxM6Hj8FtiGcZ9Oy4dinamODPO0aSDN2KVLZ/L6I/nozVW611SsxEV/QO4EKCwfGafAoR38d/G/rvaez3Pqf6w==" workbookSaltValue="btHxWdFRmFahLL2nG6V9C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BG12" i="8" s="1"/>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AH19" i="8"/>
  <c r="BE11" i="13"/>
  <c r="AB19" i="19"/>
  <c r="E18" i="12"/>
  <c r="D18" i="12"/>
  <c r="ER19" i="8"/>
  <c r="EQ19" i="8"/>
  <c r="BA13" i="16"/>
  <c r="AC17" i="11"/>
  <c r="G18" i="12"/>
  <c r="W19" i="13"/>
  <c r="Z19" i="8"/>
  <c r="AL13" i="16"/>
  <c r="S13" i="16"/>
  <c r="P13" i="16"/>
  <c r="AN13" i="20"/>
  <c r="M18" i="2"/>
  <c r="H13" i="12"/>
  <c r="T19" i="8"/>
  <c r="T13" i="12"/>
  <c r="BJ15" i="11"/>
  <c r="AP15" i="20"/>
  <c r="R17" i="20"/>
  <c r="R18" i="20" s="1"/>
  <c r="T17" i="16"/>
  <c r="BU15" i="17"/>
  <c r="BW17" i="20"/>
  <c r="BW16" i="20"/>
  <c r="BW15" i="20"/>
  <c r="BV10" i="16"/>
  <c r="BU16" i="17"/>
  <c r="S12" i="14"/>
  <c r="V12" i="14" s="1"/>
  <c r="S15" i="16"/>
  <c r="BF12" i="11"/>
  <c r="BL10" i="11"/>
  <c r="BK16" i="11"/>
  <c r="BG16" i="11"/>
  <c r="BM9" i="11"/>
  <c r="BK10" i="11"/>
  <c r="BD9" i="8"/>
  <c r="I19" i="8"/>
  <c r="E13" i="17"/>
  <c r="X15" i="16"/>
  <c r="X18" i="16" s="1"/>
  <c r="T13" i="20"/>
  <c r="T13" i="16"/>
  <c r="AP13" i="16"/>
  <c r="BG15" i="13"/>
  <c r="J20" i="20"/>
  <c r="AF20" i="20"/>
  <c r="M20" i="20"/>
  <c r="AG20" i="20"/>
  <c r="K20" i="20"/>
  <c r="Z20" i="20"/>
  <c r="AM20" i="20"/>
  <c r="AK20" i="20"/>
  <c r="W20" i="21"/>
  <c r="F20" i="20"/>
  <c r="S20" i="20"/>
  <c r="AN17" i="11" l="1"/>
  <c r="G17" i="3"/>
  <c r="C19" i="3"/>
  <c r="AJ19" i="8"/>
  <c r="AH13" i="16"/>
  <c r="BA13" i="8"/>
  <c r="B13" i="7"/>
  <c r="Z13" i="17"/>
  <c r="AA19" i="8"/>
  <c r="I10" i="3"/>
  <c r="AO12" i="11"/>
  <c r="X12" i="21"/>
  <c r="BF11" i="11"/>
  <c r="BH11" i="16"/>
  <c r="BL9" i="11"/>
  <c r="BH17" i="16"/>
  <c r="BG10" i="11"/>
  <c r="BM16" i="11"/>
  <c r="P17" i="17"/>
  <c r="BF17" i="11"/>
  <c r="BF16" i="11"/>
  <c r="S17" i="16"/>
  <c r="BL12" i="11"/>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X15" i="17"/>
  <c r="BG12" i="11"/>
  <c r="Q17" i="17"/>
  <c r="BH10" i="11"/>
  <c r="BI9" i="11"/>
  <c r="AQ10" i="21"/>
  <c r="S10" i="17"/>
  <c r="BH10" i="16"/>
  <c r="Q15" i="17"/>
  <c r="BM17" i="11"/>
  <c r="BF15" i="11"/>
  <c r="BH16" i="11"/>
  <c r="AQ12" i="21"/>
  <c r="BJ16" i="11"/>
  <c r="BL16" i="11"/>
  <c r="L17" i="2"/>
  <c r="L9" i="2"/>
  <c r="AA9" i="16"/>
  <c r="AP16" i="20"/>
  <c r="BH9" i="16"/>
  <c r="V15" i="11"/>
  <c r="BJ17" i="11"/>
  <c r="BH15" i="11"/>
  <c r="BH15" i="16"/>
  <c r="Q17" i="20"/>
  <c r="Q18" i="20" s="1"/>
  <c r="BL17" i="11"/>
  <c r="BK12" i="11"/>
  <c r="BF10" i="11"/>
  <c r="BK9" i="11"/>
  <c r="BK13" i="11" s="1"/>
  <c r="BK11" i="11"/>
  <c r="V11" i="11"/>
  <c r="BI10" i="11"/>
  <c r="Q10" i="21"/>
  <c r="S9" i="14"/>
  <c r="V9" i="14" s="1"/>
  <c r="BI15" i="11"/>
  <c r="AA17" i="16"/>
  <c r="X11" i="17"/>
  <c r="U9" i="17"/>
  <c r="U19" i="17" s="1"/>
  <c r="V9" i="16"/>
  <c r="V10" i="16"/>
  <c r="L15" i="2"/>
  <c r="S15" i="17"/>
  <c r="BH12" i="16"/>
  <c r="S17" i="17"/>
  <c r="BH11" i="11"/>
  <c r="BJ10" i="11"/>
  <c r="BL15" i="11"/>
  <c r="P15" i="17"/>
  <c r="S11" i="14"/>
  <c r="V11" i="14" s="1"/>
  <c r="BV9" i="16"/>
  <c r="BU17" i="17"/>
  <c r="BU9" i="17"/>
  <c r="BV15" i="16"/>
  <c r="BV16" i="16"/>
  <c r="BW9" i="20"/>
  <c r="T15" i="16"/>
  <c r="BK17" i="11"/>
  <c r="BG15" i="11"/>
  <c r="BJ12" i="11"/>
  <c r="D17" i="6"/>
  <c r="BF12" i="8"/>
  <c r="AY13" i="8"/>
  <c r="BE9" i="8"/>
  <c r="I9" i="7" s="1"/>
  <c r="BD15" i="8"/>
  <c r="G18" i="2"/>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T20" i="20"/>
  <c r="W20" i="20"/>
  <c r="T20" i="21"/>
  <c r="AJ20" i="20"/>
  <c r="Q20" i="20"/>
  <c r="AQ20" i="21"/>
  <c r="AU20" i="20"/>
  <c r="AD20" i="20"/>
  <c r="G18" i="14"/>
  <c r="AL20" i="20"/>
  <c r="AI20" i="20"/>
  <c r="U16" i="11"/>
  <c r="AV20" i="20"/>
  <c r="Y20" i="20"/>
  <c r="O10" i="11"/>
  <c r="U12" i="11"/>
  <c r="U10" i="11"/>
  <c r="AA20" i="20"/>
  <c r="E20" i="20"/>
  <c r="L20" i="20"/>
  <c r="AQ20" i="20"/>
  <c r="AZ20" i="20"/>
  <c r="K10" i="12" l="1"/>
  <c r="I9"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16" i="11"/>
  <c r="H20" i="17"/>
  <c r="AB20" i="20"/>
  <c r="O20" i="20"/>
  <c r="H20" i="20"/>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M20" i="17"/>
  <c r="AN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<sst xmlns="http://schemas.openxmlformats.org/spreadsheetml/2006/main" count="2094" uniqueCount="914">
  <si>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</si>
  <si>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</si>
  <si>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</si>
  <si>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</si>
  <si>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</si>
  <si>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</si>
  <si>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</si>
  <si>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</si>
  <si>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</si>
  <si>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</si>
  <si>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</si>
  <si>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</si>
  <si>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</si>
  <si>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</si>
  <si>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</si>
  <si>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</si>
  <si>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</si>
  <si>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</si>
  <si>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</si>
  <si>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</si>
  <si>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</si>
  <si>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</si>
  <si>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</si>
  <si>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</si>
  <si>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</si>
  <si>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</si>
  <si>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</si>
  <si>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</si>
  <si>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</si>
  <si>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</si>
  <si>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</si>
  <si>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</si>
  <si>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</si>
  <si>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</si>
  <si>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</si>
  <si>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</si>
  <si>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</si>
  <si>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</si>
  <si>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</si>
  <si>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</si>
  <si>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</si>
  <si>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</si>
  <si>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</si>
  <si>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</si>
  <si>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</si>
  <si>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</si>
  <si>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</si>
  <si>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</si>
  <si>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</si>
  <si>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</si>
  <si>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</si>
  <si>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</si>
  <si>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</si>
  <si>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</si>
  <si>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</si>
  <si>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</si>
  <si>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</si>
  <si>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</si>
  <si>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</si>
  <si>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</si>
  <si>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</si>
  <si>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</si>
  <si>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</si>
  <si>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</si>
  <si>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</si>
  <si>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</si>
  <si>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</si>
  <si>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</si>
  <si>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</si>
  <si>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</si>
  <si>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</si>
  <si>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</si>
  <si>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</si>
  <si>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</si>
  <si>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</si>
  <si>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</si>
  <si>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</si>
  <si>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</si>
  <si>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</si>
  <si>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</si>
  <si>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</si>
  <si>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</si>
  <si>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</si>
  <si>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</si>
  <si>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</si>
  <si>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</si>
  <si>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</si>
  <si>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</si>
  <si>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</si>
  <si>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</si>
  <si>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</si>
  <si>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</si>
  <si>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</si>
  <si>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</si>
  <si>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</si>
  <si>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</si>
  <si>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</si>
  <si>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</si>
  <si>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</si>
  <si>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</si>
  <si>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</si>
  <si>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</si>
  <si>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</si>
  <si>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</si>
  <si>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</si>
  <si>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</si>
  <si>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</si>
  <si>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</si>
  <si>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</si>
  <si>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</si>
  <si>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</si>
  <si>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</si>
  <si>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</si>
  <si>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</si>
  <si>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</si>
  <si>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</si>
  <si>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</si>
  <si>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</si>
  <si>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</si>
  <si>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</si>
  <si>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</si>
  <si>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</si>
  <si>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</si>
  <si>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</si>
  <si>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</si>
  <si>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</si>
  <si>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</si>
  <si>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</si>
  <si>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</si>
  <si>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</si>
  <si>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</si>
  <si>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</si>
  <si>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</si>
  <si>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</si>
  <si>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</si>
  <si>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</si>
  <si>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</si>
  <si>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</si>
  <si>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</si>
  <si>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</si>
  <si>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</si>
  <si>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</si>
  <si>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</si>
  <si>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</si>
  <si>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</si>
  <si>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</si>
  <si>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</si>
  <si>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</si>
  <si>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</si>
  <si>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</si>
  <si>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</si>
  <si>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</si>
  <si>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</si>
  <si>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</si>
  <si>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</si>
  <si>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</si>
  <si>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</si>
  <si>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</si>
  <si>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</si>
  <si>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</si>
  <si>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</si>
  <si>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</si>
  <si>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</si>
  <si>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</si>
  <si>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</si>
  <si>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</si>
  <si>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</si>
  <si>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</si>
  <si>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</si>
  <si>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</si>
  <si>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</si>
  <si>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</si>
  <si>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</si>
  <si>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</si>
  <si>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</si>
  <si>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</si>
  <si>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</si>
  <si>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</si>
  <si>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</si>
  <si>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</si>
  <si>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</si>
  <si>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</si>
  <si>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</si>
  <si>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</si>
  <si>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</si>
  <si>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</si>
  <si>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</si>
  <si>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</si>
  <si>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</si>
  <si>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</si>
  <si>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</si>
  <si>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</si>
  <si>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</si>
  <si>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</si>
  <si>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</si>
  <si>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</si>
  <si>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</si>
  <si>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</si>
  <si>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</si>
  <si>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</si>
  <si>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</si>
  <si>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</si>
  <si>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</si>
  <si>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</si>
  <si>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</si>
  <si>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</si>
  <si>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</si>
  <si>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</si>
  <si>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</si>
  <si>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</si>
  <si>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</si>
  <si>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</si>
  <si>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</si>
  <si>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</si>
  <si>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</si>
  <si>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</si>
  <si>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</si>
  <si>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</si>
  <si>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</si>
  <si>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</si>
  <si>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</si>
  <si>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</si>
  <si>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</si>
  <si>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</si>
  <si>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</si>
  <si>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</si>
  <si>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</si>
  <si>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</si>
  <si>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</si>
  <si>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</si>
  <si>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</si>
  <si>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</si>
  <si>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</si>
  <si>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</si>
  <si>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</si>
  <si>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</si>
  <si>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</si>
  <si>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</si>
  <si>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</si>
  <si>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</si>
  <si>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</si>
  <si>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</si>
  <si>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</si>
  <si>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</si>
  <si>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</si>
  <si>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</si>
  <si>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</si>
  <si>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</si>
  <si>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</si>
  <si>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</si>
  <si>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</si>
  <si>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</si>
  <si>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</si>
  <si>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</si>
  <si>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</si>
  <si>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</si>
  <si>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</si>
  <si>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</si>
  <si>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</si>
  <si>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</si>
  <si>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</si>
  <si>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</si>
  <si>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</si>
  <si>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</si>
  <si>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</si>
  <si>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</si>
  <si>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</si>
  <si>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</si>
  <si>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</si>
  <si>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</si>
  <si>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</si>
  <si>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</si>
  <si>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</si>
  <si>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</si>
  <si>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</si>
  <si>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</si>
  <si>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</si>
  <si>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</si>
  <si>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</si>
  <si>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</si>
  <si>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</si>
  <si>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</si>
  <si>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</si>
  <si>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</si>
  <si>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</si>
  <si>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</si>
  <si>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</si>
  <si>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</si>
  <si>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</si>
  <si>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</si>
  <si>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</si>
  <si>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</si>
  <si>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</si>
  <si>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</si>
  <si>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</si>
  <si>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</si>
  <si>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</si>
  <si>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</si>
  <si>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</si>
  <si>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</si>
  <si>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</si>
  <si>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</si>
  <si>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</si>
  <si>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</si>
  <si>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</si>
  <si>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</si>
  <si>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</si>
  <si>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</si>
  <si>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</si>
  <si>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</si>
  <si>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</si>
  <si>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</si>
  <si>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</si>
  <si>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</si>
  <si>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</si>
  <si>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</si>
  <si>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</si>
  <si>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</si>
  <si>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</si>
  <si>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</si>
  <si>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</si>
  <si>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</si>
  <si>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</si>
  <si>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</si>
  <si>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</si>
  <si>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</si>
  <si>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</si>
  <si>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</si>
  <si>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</si>
  <si>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</si>
  <si>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</si>
  <si>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</si>
  <si>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</si>
  <si>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</si>
  <si>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</si>
  <si>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</si>
  <si>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</si>
  <si>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</si>
  <si>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</si>
  <si>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</si>
  <si>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</si>
  <si>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</si>
  <si>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</si>
  <si>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</si>
  <si>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</si>
  <si>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</si>
  <si>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</si>
  <si>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</si>
  <si>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</si>
  <si>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</si>
  <si>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</si>
  <si>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</si>
  <si>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</si>
  <si>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</si>
  <si>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</si>
  <si>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</si>
  <si>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</si>
  <si>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</si>
  <si>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</si>
  <si>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</si>
  <si>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</si>
  <si>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</si>
  <si>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</si>
  <si>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</si>
  <si>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</si>
  <si>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</si>
  <si>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</si>
  <si>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</si>
  <si>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</si>
  <si>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</si>
  <si>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</si>
  <si>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</si>
  <si>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</si>
  <si>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</si>
  <si>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</si>
  <si>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</si>
  <si>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</si>
  <si>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</si>
  <si>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</si>
  <si>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</si>
  <si>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</si>
  <si>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</si>
  <si>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</si>
  <si>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</si>
  <si>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</si>
  <si>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</si>
  <si>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</si>
  <si>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</si>
  <si>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</si>
  <si>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</si>
  <si>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</si>
  <si>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</si>
  <si>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</si>
  <si>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</si>
  <si>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</si>
  <si>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</si>
  <si>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</si>
  <si>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</si>
  <si>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</si>
  <si>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</si>
  <si>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</si>
  <si>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</si>
  <si>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</si>
  <si>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</si>
  <si>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</si>
  <si>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</si>
  <si>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</si>
  <si>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</si>
  <si>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</si>
  <si>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</si>
  <si>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</si>
  <si>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</si>
  <si>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</si>
  <si>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</si>
  <si>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</si>
  <si>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</si>
  <si>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</si>
  <si>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</si>
  <si>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</si>
  <si>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</si>
  <si>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</si>
  <si>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</si>
  <si>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</si>
  <si>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</si>
  <si>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</si>
  <si>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</si>
  <si>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</si>
  <si>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</si>
  <si>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</si>
  <si>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</si>
  <si>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</si>
  <si>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</si>
  <si>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</si>
  <si>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</si>
  <si>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</si>
  <si>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</si>
  <si>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</si>
  <si>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</si>
  <si>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</si>
  <si>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</si>
  <si>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</si>
  <si>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</si>
  <si>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</si>
  <si>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</si>
  <si>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</si>
  <si>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</si>
  <si>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</si>
  <si>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</si>
  <si>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</si>
  <si>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</si>
  <si>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</si>
  <si>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</si>
  <si>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</si>
  <si>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</si>
  <si>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</si>
  <si>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</si>
  <si>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</si>
  <si>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</si>
  <si>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</si>
  <si>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</si>
  <si>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</si>
  <si>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</si>
  <si>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</si>
  <si>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</si>
  <si>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</si>
  <si>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</si>
  <si>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</si>
  <si>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</si>
  <si>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</si>
  <si>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</si>
  <si>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</si>
  <si>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</si>
  <si>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</si>
  <si>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</si>
  <si>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</si>
  <si>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</si>
  <si>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</si>
  <si>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</si>
  <si>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</si>
  <si>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</si>
  <si>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</si>
  <si>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</si>
  <si>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</si>
  <si>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</si>
  <si>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</si>
  <si>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</si>
  <si>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</si>
  <si>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</si>
  <si>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</si>
  <si>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</si>
  <si>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</si>
  <si>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</si>
  <si>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</si>
  <si>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</si>
  <si>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</si>
  <si>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</si>
  <si>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</si>
  <si>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</si>
  <si>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</si>
  <si>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</si>
  <si>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</si>
  <si>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</si>
  <si>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</si>
  <si>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</si>
  <si>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</si>
  <si>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</si>
  <si>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</si>
  <si>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</si>
  <si>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</si>
  <si>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</si>
  <si>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</si>
  <si>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</si>
  <si>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</si>
  <si>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</si>
  <si>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</si>
  <si>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</si>
  <si>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</si>
  <si>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</si>
  <si>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</si>
  <si>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</si>
  <si>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</si>
  <si>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</si>
  <si>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</si>
  <si>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</si>
  <si>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</si>
  <si>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</si>
  <si>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</si>
  <si>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</si>
  <si>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</si>
  <si>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</si>
  <si>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</si>
  <si>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</si>
  <si>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</si>
  <si>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</si>
  <si>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</si>
  <si>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</si>
  <si>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</si>
  <si>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</si>
  <si>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</si>
  <si>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</si>
  <si>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</si>
  <si>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</si>
  <si>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</si>
  <si>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</si>
  <si>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</si>
  <si>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</si>
  <si>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</si>
  <si>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</si>
  <si>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</si>
  <si>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</si>
  <si>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</si>
  <si>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</si>
  <si>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</si>
  <si>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</si>
  <si>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</si>
  <si>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</si>
  <si>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</si>
  <si>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</si>
  <si>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</si>
  <si>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</si>
  <si>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</si>
  <si>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</si>
  <si>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</si>
  <si>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</si>
  <si>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</si>
  <si>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</si>
  <si>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</si>
  <si>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</si>
  <si>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</si>
  <si>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</si>
  <si>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</si>
  <si>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</si>
  <si>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</si>
  <si>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</si>
  <si>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</si>
  <si>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</si>
  <si>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</si>
  <si>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</si>
  <si>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</si>
  <si>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</si>
  <si>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</si>
  <si>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</si>
  <si>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</si>
  <si>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</si>
  <si>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</si>
  <si>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</si>
  <si>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</si>
  <si>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</si>
  <si>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</si>
  <si>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</si>
  <si>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</si>
  <si>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</si>
  <si>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</si>
  <si>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</si>
  <si>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</si>
  <si>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</si>
  <si>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</si>
  <si>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</si>
  <si>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</si>
  <si>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</si>
  <si>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</si>
  <si>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</si>
  <si>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</si>
  <si>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</si>
  <si>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</si>
  <si>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</si>
  <si>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</si>
  <si>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</si>
  <si>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</si>
  <si>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</si>
  <si>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</si>
  <si>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</si>
  <si>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</si>
  <si>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</si>
  <si>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</si>
  <si>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</si>
  <si>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</si>
  <si>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</si>
  <si>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</si>
  <si>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</si>
  <si>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</si>
  <si>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</si>
  <si>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</si>
  <si>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</si>
  <si>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</si>
  <si>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</si>
  <si>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</si>
  <si>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</si>
  <si>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</si>
  <si>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</si>
  <si>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</si>
  <si>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</si>
  <si>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</si>
  <si>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</si>
  <si>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</si>
  <si>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</si>
  <si>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</si>
  <si>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</si>
  <si>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</si>
  <si>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</si>
  <si>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</si>
  <si>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</si>
  <si>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</si>
  <si>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</si>
  <si>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</si>
  <si>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</si>
  <si>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</si>
  <si>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</si>
  <si>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</si>
  <si>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</si>
  <si>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</si>
  <si>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</si>
  <si>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</si>
  <si>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</si>
  <si>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</si>
  <si>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</si>
  <si>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</si>
  <si>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</si>
  <si>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</si>
  <si>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</si>
  <si>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</si>
  <si>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</si>
  <si>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</si>
  <si>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</si>
  <si>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</si>
  <si>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</si>
  <si>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</si>
  <si>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</si>
  <si>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</si>
  <si>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</si>
  <si>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</si>
  <si>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</si>
  <si>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</si>
  <si>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</si>
  <si>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</si>
  <si>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</si>
  <si>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</si>
  <si>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</si>
  <si>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</si>
  <si>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</si>
  <si>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</si>
  <si>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</si>
  <si>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</si>
  <si>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</si>
  <si>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</si>
  <si>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</si>
  <si>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</si>
  <si>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</si>
  <si>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</si>
  <si>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</si>
  <si>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</si>
  <si>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</si>
  <si>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</si>
  <si>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</si>
  <si>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</si>
  <si>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</si>
  <si>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</si>
  <si>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</si>
  <si>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</si>
  <si>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</si>
  <si>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</si>
  <si>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</si>
  <si>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</si>
  <si>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</si>
  <si>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</si>
  <si>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</si>
  <si>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</si>
  <si>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</si>
  <si>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</si>
  <si>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</si>
  <si>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</si>
  <si>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</si>
  <si>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</si>
  <si>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</si>
  <si>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</si>
  <si>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</si>
  <si>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</si>
  <si>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</si>
  <si>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</si>
  <si>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</si>
  <si>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</si>
  <si>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</si>
  <si>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</si>
  <si>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</si>
  <si>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</si>
  <si>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</si>
  <si>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</si>
  <si>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</si>
  <si>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</si>
  <si>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</si>
  <si>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</si>
  <si>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</si>
  <si>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</si>
  <si>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</si>
  <si>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</si>
  <si>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</si>
  <si>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</si>
  <si>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</si>
  <si>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</si>
  <si>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</si>
  <si>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</si>
  <si>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</si>
  <si>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</si>
  <si>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</si>
  <si>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</si>
  <si>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</si>
  <si>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</si>
  <si>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</si>
  <si>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</si>
  <si>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</si>
  <si>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</si>
  <si>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</si>
  <si>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</si>
  <si>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</si>
  <si>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</si>
  <si>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</si>
  <si>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</si>
  <si>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</si>
  <si>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</si>
  <si>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</si>
  <si>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</si>
  <si>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</si>
  <si>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</si>
  <si>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</si>
  <si>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</si>
  <si>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</si>
  <si>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</si>
  <si>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</si>
  <si>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</si>
  <si>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</si>
  <si>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</si>
  <si>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</si>
  <si>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</si>
  <si>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</si>
  <si>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</si>
  <si>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</si>
  <si>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</si>
  <si>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</si>
  <si>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</si>
  <si>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</si>
  <si>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</si>
  <si>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</si>
  <si>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</si>
  <si>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</si>
  <si>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</si>
  <si>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</si>
  <si>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</si>
  <si>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</si>
  <si>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</si>
  <si>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</si>
  <si>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</si>
  <si>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</si>
  <si>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</si>
  <si>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</si>
  <si>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</si>
  <si>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</si>
  <si>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</si>
  <si>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</si>
  <si>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</si>
  <si>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</si>
  <si>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</si>
  <si>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</si>
  <si>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</si>
  <si>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</si>
  <si>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</si>
  <si>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</si>
  <si>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</si>
  <si>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</si>
  <si>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</si>
  <si>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</si>
  <si>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</si>
  <si>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</si>
  <si>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</si>
  <si>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</si>
  <si>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</si>
  <si>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</si>
  <si>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</si>
  <si>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</si>
  <si>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</si>
  <si>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</si>
  <si>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</si>
  <si>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</si>
  <si>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</si>
  <si>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</si>
  <si>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</si>
  <si>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</si>
  <si>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</si>
  <si>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</si>
  <si>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</si>
  <si>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</si>
  <si>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</si>
  <si>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</si>
  <si>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</si>
  <si>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</si>
  <si>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</si>
  <si>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</si>
  <si>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</si>
  <si>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</si>
  <si>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</si>
  <si>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</si>
  <si>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</si>
  <si>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</si>
  <si>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</si>
  <si>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</si>
  <si>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</si>
  <si>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</si>
  <si>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</si>
  <si>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</si>
  <si>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</si>
  <si>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</si>
  <si>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</si>
  <si>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</si>
  <si>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</si>
  <si>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</si>
  <si>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</si>
  <si>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</si>
  <si>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</si>
  <si>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</si>
  <si>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</si>
  <si>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</si>
  <si>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</si>
  <si>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</si>
  <si>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</si>
  <si>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</si>
  <si>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</si>
  <si>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</si>
  <si>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</si>
  <si>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</si>
  <si>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</si>
  <si>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</si>
  <si>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</si>
  <si>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</si>
  <si>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</si>
  <si>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</si>
  <si>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</si>
  <si>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</si>
  <si>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</si>
  <si>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</si>
  <si>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</si>
  <si>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</si>
  <si>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</si>
  <si>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</si>
  <si>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</si>
  <si>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</si>
  <si>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</si>
  <si>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</si>
  <si>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</si>
  <si>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</si>
  <si>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</si>
  <si>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</si>
  <si>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</si>
  <si>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</si>
  <si>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</si>
  <si>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</si>
  <si>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</si>
  <si>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</si>
  <si>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</si>
  <si>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</si>
  <si>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</si>
  <si>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</si>
  <si>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</si>
  <si>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</si>
  <si>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</si>
  <si>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</si>
  <si>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</si>
  <si>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</si>
  <si>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</si>
  <si>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</si>
  <si>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</si>
  <si>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</si>
  <si>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</si>
  <si>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CADIZ</t>
  </si>
  <si>
    <t>Resumenes por Partidos Judiciales</t>
  </si>
  <si>
    <t>ARCOS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</si>
</sst>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6/x1ivoE43WvkgLBqmxe2z2sQTixaZRBWsnBECLR8KDVhIIQOVZR+1L6LcnY5gA49d8WWAgZm06EpKW9wyJnoA==" saltValue="a4QP4xseWDNUxTp5F733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33</v>
      </c>
      <c r="D10" s="228">
        <f>IF(ISNUMBER(Datos!I10),Datos!I10," - ")</f>
        <v>33</v>
      </c>
      <c r="E10" s="229">
        <f>IF(ISNUMBER(Datos!J10),Datos!J10," - ")</f>
        <v>43</v>
      </c>
      <c r="F10" s="229">
        <f>IF(ISNUMBER(Datos!K10),Datos!K10," - ")</f>
        <v>43</v>
      </c>
      <c r="G10" s="1037" t="str">
        <f>IF(Datos!E10&lt;&gt;"",Datos!E10,Datos!D10)</f>
        <v>37</v>
      </c>
      <c r="H10" s="230">
        <f>IF(ISNUMBER(Datos!L10),Datos!L10," - ")</f>
        <v>33</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8.4418604651162799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12.229357798165138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33</v>
      </c>
      <c r="D13" s="1052">
        <f>SUBTOTAL(9,D9:D12)</f>
        <v>33</v>
      </c>
      <c r="E13" s="1053">
        <f>SUBTOTAL(9,E9:E12)</f>
        <v>43</v>
      </c>
      <c r="F13" s="1054">
        <f>SUBTOTAL(9,F9:F12)</f>
        <v>43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1321</v>
      </c>
      <c r="D16" s="228">
        <f>IF(ISNUMBER(IF(D_I="SI",Datos!I16,Datos!I16+Datos!AC16)),IF(D_I="SI",Datos!I16,Datos!I16+Datos!AC16)," - ")</f>
        <v>1268</v>
      </c>
      <c r="E16" s="229">
        <f>IF(ISNUMBER(IF(D_I="SI",Datos!J16,Datos!J16+Datos!AD16)),IF(D_I="SI",Datos!J16,Datos!J16+Datos!AD16)," - ")</f>
        <v>4484</v>
      </c>
      <c r="F16" s="229">
        <f>IF(ISNUMBER(IF(D_I="SI",Datos!K16,Datos!K16+Datos!AE16)),IF(D_I="SI",Datos!K16,Datos!K16+Datos!AE16)," - ")</f>
        <v>4254</v>
      </c>
      <c r="G16" s="1037" t="str">
        <f>IF(Datos!E16&lt;&gt;"",Datos!E16,Datos!D16)</f>
        <v>04</v>
      </c>
      <c r="H16" s="230">
        <f>IF(ISNUMBER(IF(D_I="SI",Datos!L16,Datos!L16+Datos!AF16)),IF(D_I="SI",Datos!L16,Datos!L16+Datos!AF16)," - ")</f>
        <v>1551</v>
      </c>
      <c r="I16" s="1047" t="str">
        <f>IF(ISNUMBER(Datos!AS16/Datos!BM16),Datos!AS16/Datos!BM16," - ")</f>
        <v xml:space="preserve"> - </v>
      </c>
      <c r="J16" s="1048">
        <f>IF(ISNUMBER(Datos!BY16/Datos!CN16),Datos!BY16/Datos!CN16," - ")</f>
        <v>0</v>
      </c>
      <c r="K16" s="233">
        <f t="shared" si="3"/>
        <v>0.17411052233156699</v>
      </c>
      <c r="L16" s="1028">
        <f>IF(ISNUMBER(NºAsuntos!I16/NºAsuntos!G16),(NºAsuntos!I16/NºAsuntos!G16)*11," - ")</f>
        <v>4.0105782792665723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24</v>
      </c>
      <c r="D17" s="228">
        <f>IF(ISNUMBER(IF(D_I="SI",Datos!I17,Datos!I17+Datos!AC17)),IF(D_I="SI",Datos!I17,Datos!I17+Datos!AC17)," - ")</f>
        <v>31</v>
      </c>
      <c r="E17" s="229">
        <f>IF(ISNUMBER(IF(D_I="SI",Datos!J17,Datos!J17+Datos!AD17)),IF(D_I="SI",Datos!J17,Datos!J17+Datos!AD17)," - ")</f>
        <v>366</v>
      </c>
      <c r="F17" s="229">
        <f>IF(ISNUMBER(IF(D_I="SI",Datos!K17,Datos!K17+Datos!AE17)),IF(D_I="SI",Datos!K17,Datos!K17+Datos!AE17)," - ")</f>
        <v>345</v>
      </c>
      <c r="G17" s="1037" t="str">
        <f>IF(Datos!E17&lt;&gt;"",Datos!E17,Datos!D17)</f>
        <v>37</v>
      </c>
      <c r="H17" s="230">
        <f>IF(ISNUMBER(IF(D_I="SI",Datos!L17,Datos!L17+Datos!AF17)),IF(D_I="SI",Datos!L17,Datos!L17+Datos!AF17)," - ")</f>
        <v>45</v>
      </c>
      <c r="I17" s="1047" t="str">
        <f>IF(ISNUMBER(Datos!AS17/Datos!BM17),Datos!AS17/Datos!BM17," - ")</f>
        <v xml:space="preserve"> - </v>
      </c>
      <c r="J17" s="1048" t="str">
        <f>IF(ISNUMBER((Datos!BY17+Datos!BZ17)/Datos!CN17),(Datos!BY17+Datos!BZ17)/Datos!CN17," - ")</f>
        <v xml:space="preserve"> - </v>
      </c>
      <c r="K17" s="233">
        <f t="shared" si="3"/>
        <v>0.875</v>
      </c>
      <c r="L17" s="1028">
        <f>IF(ISNUMBER(NºAsuntos!I17/NºAsuntos!G17),(NºAsuntos!I17/NºAsuntos!G17)*11," - ")</f>
        <v>1.4347826086956521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1345</v>
      </c>
      <c r="D18" s="1052">
        <f>SUBTOTAL(9,D15:D17)</f>
        <v>1299</v>
      </c>
      <c r="E18" s="1053">
        <f>SUBTOTAL(9,E15:E17)</f>
        <v>4850</v>
      </c>
      <c r="F18" s="1053">
        <f>SUBTOTAL(9,F15:F17)</f>
        <v>4599</v>
      </c>
      <c r="G18" s="1055" t="str">
        <f ca="1">INDIRECT(CONCATENATE("G",ROW()-1))</f>
        <v>37</v>
      </c>
      <c r="H18" s="1056">
        <f ca="1">SUMIF(G$14:G17,G18,H$14:H17)</f>
        <v>45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1378</v>
      </c>
      <c r="D19" s="1074">
        <f>SUBTOTAL(9,D9:D18)</f>
        <v>1332</v>
      </c>
      <c r="E19" s="1075">
        <f>SUBTOTAL(9,E9:E18)</f>
        <v>4893</v>
      </c>
      <c r="F19" s="1075">
        <f>SUBTOTAL(9,F9:F18)</f>
        <v>4642</v>
      </c>
      <c r="G19" s="1076"/>
      <c r="H19" s="1077">
        <f ca="1">SUMIF(B9:B18,"TOTAL",H9:H18)</f>
        <v>45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zPDO2zW/M4spTrNDBE1BSMBgKHY/UfUSwHkhnrypiCH8NeyXmhnN3OERecvjcNLzo9WxKb+I+t5uwQghOEh3sw==" saltValue="2Bm/ABsFmMjPcYYs4jBVd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uZJ4yUwc5pormrZSmKGvXNHknZvZkq6WyYXlcshxMvceR9RgHNbKjmWDtyvLZ7AlqpyGbrfUw/cO8eaoCDY+/Q==" saltValue="ICETydukiDAP8VxGwURV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33</v>
      </c>
      <c r="J10" s="184">
        <v>43</v>
      </c>
      <c r="K10" s="184">
        <v>43</v>
      </c>
      <c r="L10" s="184">
        <v>33</v>
      </c>
      <c r="M10" s="184">
        <v>15</v>
      </c>
      <c r="N10" s="184">
        <v>0</v>
      </c>
      <c r="O10" s="184">
        <v>0</v>
      </c>
      <c r="P10" s="184">
        <v>0</v>
      </c>
      <c r="Q10" s="184">
        <v>0</v>
      </c>
      <c r="R10" s="184">
        <v>2</v>
      </c>
      <c r="S10" s="184">
        <v>29</v>
      </c>
      <c r="T10" s="184">
        <v>42</v>
      </c>
      <c r="U10" s="184">
        <v>22</v>
      </c>
      <c r="V10" s="184">
        <v>33</v>
      </c>
      <c r="W10" s="184">
        <v>14</v>
      </c>
      <c r="X10" s="191">
        <v>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29</v>
      </c>
      <c r="AZ10" s="129">
        <f t="shared" si="0"/>
        <v>42</v>
      </c>
      <c r="BA10" s="129">
        <f t="shared" si="0"/>
        <v>22</v>
      </c>
      <c r="BB10" s="129">
        <f t="shared" si="0"/>
        <v>33</v>
      </c>
      <c r="BC10" s="125">
        <f t="shared" si="0"/>
        <v>14</v>
      </c>
      <c r="BD10" s="126">
        <f>IF(ISNUMBER(BA10/AZ10),BA10/AZ10," - ")</f>
        <v>0.52380952380952384</v>
      </c>
      <c r="BE10" s="127">
        <f>IF(ISNUMBER(BB10/BA10),BB10/BA10, " - ")</f>
        <v>1.5</v>
      </c>
      <c r="BF10" s="127">
        <f>IF(ISNUMBER(BC10/BA10),BC10/BA10, " - ")</f>
        <v>0.63636363636363635</v>
      </c>
      <c r="BG10" s="199">
        <f>IF(ISNUMBER((AY10+AZ10)/BA10),(AY10+AZ10)/BA10," - ")</f>
        <v>3.2272727272727271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2379</v>
      </c>
      <c r="J12" s="186">
        <v>2748</v>
      </c>
      <c r="K12" s="186">
        <v>2205</v>
      </c>
      <c r="L12" s="186">
        <v>2586</v>
      </c>
      <c r="M12" s="186">
        <v>572</v>
      </c>
      <c r="N12" s="186">
        <v>875</v>
      </c>
      <c r="O12" s="184">
        <v>934</v>
      </c>
      <c r="P12" s="186">
        <v>604</v>
      </c>
      <c r="Q12" s="186">
        <v>431</v>
      </c>
      <c r="R12" s="186">
        <v>2769</v>
      </c>
      <c r="S12" s="186">
        <v>2239</v>
      </c>
      <c r="T12" s="186">
        <v>2765</v>
      </c>
      <c r="U12" s="186">
        <v>2554</v>
      </c>
      <c r="V12" s="186">
        <v>2379</v>
      </c>
      <c r="W12" s="186">
        <v>634</v>
      </c>
      <c r="X12" s="192">
        <v>997</v>
      </c>
      <c r="Y12" s="194">
        <v>75</v>
      </c>
      <c r="Z12" s="184">
        <v>199</v>
      </c>
      <c r="AA12" s="184">
        <v>193</v>
      </c>
      <c r="AB12" s="184">
        <v>80</v>
      </c>
      <c r="AC12" s="186">
        <v>0</v>
      </c>
      <c r="AD12" s="186">
        <v>0</v>
      </c>
      <c r="AE12" s="186">
        <v>0</v>
      </c>
      <c r="AF12" s="192">
        <v>0</v>
      </c>
      <c r="AG12" s="205">
        <v>36</v>
      </c>
      <c r="AH12" s="186">
        <v>209</v>
      </c>
      <c r="AI12" s="186">
        <v>167</v>
      </c>
      <c r="AJ12" s="206">
        <v>75</v>
      </c>
      <c r="AK12" s="185">
        <v>0</v>
      </c>
      <c r="AL12" s="186">
        <v>0</v>
      </c>
      <c r="AM12" s="186">
        <v>0</v>
      </c>
      <c r="AN12" s="192">
        <v>0</v>
      </c>
      <c r="AO12" s="262">
        <v>4</v>
      </c>
      <c r="AP12" s="158">
        <v>4</v>
      </c>
      <c r="AQ12" s="158">
        <v>4</v>
      </c>
      <c r="AR12" s="157">
        <v>4</v>
      </c>
      <c r="AS12" s="343" t="s">
        <v>803</v>
      </c>
      <c r="AT12" s="206"/>
      <c r="AU12" s="205"/>
      <c r="AV12" s="206"/>
      <c r="AW12" s="205"/>
      <c r="AX12" s="206"/>
      <c r="AY12" s="126">
        <f t="shared" si="1"/>
        <v>2275</v>
      </c>
      <c r="AZ12" s="127">
        <f t="shared" si="1"/>
        <v>2974</v>
      </c>
      <c r="BA12" s="127">
        <f t="shared" si="1"/>
        <v>2721</v>
      </c>
      <c r="BB12" s="127">
        <f t="shared" si="1"/>
        <v>2454</v>
      </c>
      <c r="BC12" s="125">
        <f>IF(ISNUMBER(X12),X12," - ")</f>
        <v>997</v>
      </c>
      <c r="BD12" s="126">
        <f t="shared" si="2"/>
        <v>0.91492938802958979</v>
      </c>
      <c r="BE12" s="127">
        <f t="shared" si="3"/>
        <v>0.90187431091510473</v>
      </c>
      <c r="BF12" s="127">
        <f t="shared" si="4"/>
        <v>0.36640940830576996</v>
      </c>
      <c r="BG12" s="199">
        <f t="shared" si="5"/>
        <v>1.9290701947813305</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2412</v>
      </c>
      <c r="J13" s="187">
        <f t="shared" si="6"/>
        <v>2791</v>
      </c>
      <c r="K13" s="187">
        <f t="shared" si="6"/>
        <v>2248</v>
      </c>
      <c r="L13" s="187">
        <f t="shared" si="6"/>
        <v>2619</v>
      </c>
      <c r="M13" s="187">
        <f t="shared" si="6"/>
        <v>587</v>
      </c>
      <c r="N13" s="187">
        <f t="shared" si="6"/>
        <v>875</v>
      </c>
      <c r="O13" s="187">
        <f t="shared" si="6"/>
        <v>934</v>
      </c>
      <c r="P13" s="187">
        <f t="shared" si="6"/>
        <v>604</v>
      </c>
      <c r="Q13" s="187">
        <f t="shared" si="6"/>
        <v>431</v>
      </c>
      <c r="R13" s="187">
        <f t="shared" si="6"/>
        <v>2771</v>
      </c>
      <c r="S13" s="187">
        <f t="shared" si="6"/>
        <v>2268</v>
      </c>
      <c r="T13" s="187">
        <f t="shared" si="6"/>
        <v>2807</v>
      </c>
      <c r="U13" s="187">
        <f t="shared" si="6"/>
        <v>2576</v>
      </c>
      <c r="V13" s="187">
        <f t="shared" si="6"/>
        <v>2412</v>
      </c>
      <c r="W13" s="187">
        <f t="shared" si="6"/>
        <v>648</v>
      </c>
      <c r="X13" s="187">
        <f t="shared" si="6"/>
        <v>1004</v>
      </c>
      <c r="Y13" s="187">
        <f t="shared" si="6"/>
        <v>75</v>
      </c>
      <c r="Z13" s="187">
        <f t="shared" si="6"/>
        <v>199</v>
      </c>
      <c r="AA13" s="187">
        <f t="shared" si="6"/>
        <v>193</v>
      </c>
      <c r="AB13" s="187">
        <f t="shared" si="6"/>
        <v>80</v>
      </c>
      <c r="AC13" s="187">
        <f t="shared" si="6"/>
        <v>0</v>
      </c>
      <c r="AD13" s="187">
        <f t="shared" si="6"/>
        <v>0</v>
      </c>
      <c r="AE13" s="187">
        <f t="shared" si="6"/>
        <v>0</v>
      </c>
      <c r="AF13" s="187">
        <f>SUBTOTAL(9,AF9:AF12)</f>
        <v>0</v>
      </c>
      <c r="AG13" s="187">
        <f t="shared" ref="AG13:AT13" si="7">SUBTOTAL(9,AG8:AG12)</f>
        <v>36</v>
      </c>
      <c r="AH13" s="187">
        <f t="shared" si="7"/>
        <v>209</v>
      </c>
      <c r="AI13" s="187">
        <f t="shared" si="7"/>
        <v>167</v>
      </c>
      <c r="AJ13" s="187">
        <f t="shared" si="7"/>
        <v>75</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2304</v>
      </c>
      <c r="AZ13" s="187">
        <f>SUBTOTAL(9,AZ8:AZ12)</f>
        <v>3016</v>
      </c>
      <c r="BA13" s="187">
        <f>SUBTOTAL(9,BA8:BA12)</f>
        <v>2743</v>
      </c>
      <c r="BB13" s="187">
        <f>SUBTOTAL(9,BB8:BB12)</f>
        <v>2487</v>
      </c>
      <c r="BC13" s="187">
        <f>SUBTOTAL(9,BC8:BC12)</f>
        <v>1011</v>
      </c>
      <c r="BD13" s="208">
        <f>IF(ISNUMBER(BA13/AZ13),BA13/AZ13," - ")</f>
        <v>0.90948275862068961</v>
      </c>
      <c r="BE13" s="209">
        <f>IF(ISNUMBER(BB13/BA13),BB13/BA13, " - ")</f>
        <v>0.90667152752460811</v>
      </c>
      <c r="BF13" s="209">
        <f>IF(ISNUMBER(BC13/BA13),BC13/BA13, " - ")</f>
        <v>0.36857455340867662</v>
      </c>
      <c r="BG13" s="210">
        <f>IF(ISNUMBER((AY13+AZ13)/BA13),(AY13+AZ13)/BA13," - ")</f>
        <v>1.939482318629238</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1268</v>
      </c>
      <c r="J16" s="186">
        <v>4484</v>
      </c>
      <c r="K16" s="186">
        <v>4254</v>
      </c>
      <c r="L16" s="186">
        <v>1551</v>
      </c>
      <c r="M16" s="186">
        <v>478</v>
      </c>
      <c r="N16" s="186">
        <v>2768</v>
      </c>
      <c r="O16" s="184">
        <v>0</v>
      </c>
      <c r="P16" s="186">
        <v>90</v>
      </c>
      <c r="Q16" s="186">
        <v>124</v>
      </c>
      <c r="R16" s="186">
        <v>105</v>
      </c>
      <c r="S16" s="186">
        <v>864</v>
      </c>
      <c r="T16" s="186">
        <v>4235</v>
      </c>
      <c r="U16" s="186">
        <v>3559</v>
      </c>
      <c r="V16" s="186">
        <v>1268</v>
      </c>
      <c r="W16" s="186">
        <v>516</v>
      </c>
      <c r="X16" s="192">
        <v>2282</v>
      </c>
      <c r="Y16" s="205">
        <v>0</v>
      </c>
      <c r="Z16" s="186">
        <v>0</v>
      </c>
      <c r="AA16" s="186">
        <v>0</v>
      </c>
      <c r="AB16" s="186">
        <v>0</v>
      </c>
      <c r="AC16" s="186">
        <v>0</v>
      </c>
      <c r="AD16" s="186">
        <v>1</v>
      </c>
      <c r="AE16" s="186">
        <v>1</v>
      </c>
      <c r="AF16" s="192">
        <v>0</v>
      </c>
      <c r="AG16" s="205">
        <v>0</v>
      </c>
      <c r="AH16" s="186">
        <v>0</v>
      </c>
      <c r="AI16" s="186">
        <v>0</v>
      </c>
      <c r="AJ16" s="206">
        <v>0</v>
      </c>
      <c r="AK16" s="185">
        <v>0</v>
      </c>
      <c r="AL16" s="186">
        <v>3</v>
      </c>
      <c r="AM16" s="186">
        <v>3</v>
      </c>
      <c r="AN16" s="192">
        <v>0</v>
      </c>
      <c r="AO16" s="262">
        <v>4</v>
      </c>
      <c r="AP16" s="158">
        <v>4</v>
      </c>
      <c r="AQ16" s="158">
        <v>4</v>
      </c>
      <c r="AR16" s="158">
        <v>4</v>
      </c>
      <c r="AS16" s="343" t="s">
        <v>487</v>
      </c>
      <c r="AT16" s="206"/>
      <c r="AU16" s="205"/>
      <c r="AV16" s="206"/>
      <c r="AW16" s="205"/>
      <c r="AX16" s="206"/>
      <c r="AY16" s="126">
        <f t="shared" si="9"/>
        <v>864</v>
      </c>
      <c r="AZ16" s="127">
        <f t="shared" si="9"/>
        <v>4235</v>
      </c>
      <c r="BA16" s="127">
        <f t="shared" si="9"/>
        <v>3559</v>
      </c>
      <c r="BB16" s="127">
        <f t="shared" si="9"/>
        <v>1268</v>
      </c>
      <c r="BC16" s="125">
        <f>IF(ISNUMBER(W16),W16," - ")</f>
        <v>516</v>
      </c>
      <c r="BD16" s="126">
        <f t="shared" ref="BD16" si="11">IF(ISNUMBER(BA16/AZ16),BA16/AZ16," - ")</f>
        <v>0.84037780401416762</v>
      </c>
      <c r="BE16" s="127">
        <f t="shared" ref="BE16" si="12">IF(ISNUMBER(BB16/BA16),BB16/BA16, " - ")</f>
        <v>0.35627985389154254</v>
      </c>
      <c r="BF16" s="127">
        <f t="shared" ref="BF16" si="13">IF(ISNUMBER(BC16/BA16),BC16/BA16, " - ")</f>
        <v>0.14498454622084855</v>
      </c>
      <c r="BG16" s="199">
        <f t="shared" si="10"/>
        <v>1.4327058162405171</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31</v>
      </c>
      <c r="J17" s="186">
        <v>366</v>
      </c>
      <c r="K17" s="186">
        <v>345</v>
      </c>
      <c r="L17" s="186">
        <v>45</v>
      </c>
      <c r="M17" s="186">
        <v>46</v>
      </c>
      <c r="N17" s="186">
        <v>208</v>
      </c>
      <c r="O17" s="186">
        <v>0</v>
      </c>
      <c r="P17" s="186">
        <v>0</v>
      </c>
      <c r="Q17" s="186">
        <v>2</v>
      </c>
      <c r="R17" s="186">
        <v>0</v>
      </c>
      <c r="S17" s="186">
        <v>31</v>
      </c>
      <c r="T17" s="186">
        <v>426</v>
      </c>
      <c r="U17" s="186">
        <v>401</v>
      </c>
      <c r="V17" s="186">
        <v>31</v>
      </c>
      <c r="W17" s="186">
        <v>48</v>
      </c>
      <c r="X17" s="192">
        <v>160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31</v>
      </c>
      <c r="AZ17" s="129">
        <f t="shared" si="14"/>
        <v>426</v>
      </c>
      <c r="BA17" s="129">
        <f t="shared" si="14"/>
        <v>401</v>
      </c>
      <c r="BB17" s="129">
        <f t="shared" si="14"/>
        <v>31</v>
      </c>
      <c r="BC17" s="125">
        <f>IF(ISNUMBER(W17),W17," - ")</f>
        <v>48</v>
      </c>
      <c r="BD17" s="126">
        <f>IF(ISNUMBER(BA17/AZ17),BA17/AZ17," - ")</f>
        <v>0.94131455399061037</v>
      </c>
      <c r="BE17" s="127">
        <f>IF(ISNUMBER(BB17/BA17),BB17/BA17, " - ")</f>
        <v>7.7306733167082295E-2</v>
      </c>
      <c r="BF17" s="127">
        <f>IF(ISNUMBER(BC17/BA17),BC17/BA17, " - ")</f>
        <v>0.11970074812967581</v>
      </c>
      <c r="BG17" s="199">
        <f>IF(ISNUMBER((AY17+AZ17)/BA17),(AY17+AZ17)/BA17," - ")</f>
        <v>1.1396508728179551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1299</v>
      </c>
      <c r="J18" s="187">
        <f t="shared" si="15"/>
        <v>4850</v>
      </c>
      <c r="K18" s="187">
        <f t="shared" si="15"/>
        <v>4599</v>
      </c>
      <c r="L18" s="187">
        <f t="shared" si="15"/>
        <v>1596</v>
      </c>
      <c r="M18" s="187">
        <f t="shared" si="15"/>
        <v>524</v>
      </c>
      <c r="N18" s="187">
        <f t="shared" si="15"/>
        <v>2976</v>
      </c>
      <c r="O18" s="187">
        <f t="shared" si="15"/>
        <v>0</v>
      </c>
      <c r="P18" s="187">
        <f t="shared" si="15"/>
        <v>90</v>
      </c>
      <c r="Q18" s="187">
        <f t="shared" si="15"/>
        <v>126</v>
      </c>
      <c r="R18" s="187">
        <f t="shared" si="15"/>
        <v>105</v>
      </c>
      <c r="S18" s="187">
        <f t="shared" si="15"/>
        <v>895</v>
      </c>
      <c r="T18" s="187">
        <f t="shared" si="15"/>
        <v>4661</v>
      </c>
      <c r="U18" s="187">
        <f t="shared" si="15"/>
        <v>3960</v>
      </c>
      <c r="V18" s="187">
        <f t="shared" si="15"/>
        <v>1299</v>
      </c>
      <c r="W18" s="187">
        <f t="shared" si="15"/>
        <v>564</v>
      </c>
      <c r="X18" s="187">
        <f t="shared" si="15"/>
        <v>2442</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3</v>
      </c>
      <c r="AM18" s="187">
        <f t="shared" si="15"/>
        <v>3</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895</v>
      </c>
      <c r="AZ18" s="187">
        <f>SUBTOTAL(9,AZ14:AZ17)</f>
        <v>4661</v>
      </c>
      <c r="BA18" s="187">
        <f>SUBTOTAL(9,BA14:BA17)</f>
        <v>3960</v>
      </c>
      <c r="BB18" s="187">
        <f>SUBTOTAL(9,BB14:BB17)</f>
        <v>1299</v>
      </c>
      <c r="BC18" s="187">
        <f>SUBTOTAL(9,BC14:BC17)</f>
        <v>564</v>
      </c>
      <c r="BD18" s="208">
        <f>IF(ISNUMBER(BA18/AZ18),BA18/AZ18," - ")</f>
        <v>0.84960308946577989</v>
      </c>
      <c r="BE18" s="209">
        <f>IF(ISNUMBER(BB18/BA18),BB18/BA18, " - ")</f>
        <v>0.32803030303030301</v>
      </c>
      <c r="BF18" s="209">
        <f>IF(ISNUMBER(BC18/BA18),BC18/BA18, " - ")</f>
        <v>0.14242424242424243</v>
      </c>
      <c r="BG18" s="210">
        <f>IF(ISNUMBER((AY18+AZ18)/BA18),(AY18+AZ18)/BA18," - ")</f>
        <v>1.4030303030303031</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3711</v>
      </c>
      <c r="J19" s="134">
        <f t="shared" si="18"/>
        <v>7641</v>
      </c>
      <c r="K19" s="134">
        <f t="shared" si="18"/>
        <v>6847</v>
      </c>
      <c r="L19" s="134">
        <f t="shared" si="18"/>
        <v>4215</v>
      </c>
      <c r="M19" s="134">
        <f t="shared" si="18"/>
        <v>1111</v>
      </c>
      <c r="N19" s="134">
        <f t="shared" si="18"/>
        <v>3851</v>
      </c>
      <c r="O19" s="134">
        <f t="shared" si="18"/>
        <v>934</v>
      </c>
      <c r="P19" s="134">
        <f t="shared" si="18"/>
        <v>694</v>
      </c>
      <c r="Q19" s="134">
        <f t="shared" si="18"/>
        <v>557</v>
      </c>
      <c r="R19" s="134">
        <f t="shared" si="18"/>
        <v>2876</v>
      </c>
      <c r="S19" s="134">
        <f t="shared" si="18"/>
        <v>3163</v>
      </c>
      <c r="T19" s="134">
        <f t="shared" si="18"/>
        <v>7468</v>
      </c>
      <c r="U19" s="134">
        <f t="shared" si="18"/>
        <v>6536</v>
      </c>
      <c r="V19" s="134">
        <f t="shared" si="18"/>
        <v>3711</v>
      </c>
      <c r="W19" s="134">
        <f t="shared" si="18"/>
        <v>1212</v>
      </c>
      <c r="X19" s="134">
        <f t="shared" si="18"/>
        <v>3446</v>
      </c>
      <c r="Y19" s="134">
        <f t="shared" si="18"/>
        <v>75</v>
      </c>
      <c r="Z19" s="134">
        <f t="shared" si="18"/>
        <v>199</v>
      </c>
      <c r="AA19" s="134">
        <f t="shared" si="18"/>
        <v>193</v>
      </c>
      <c r="AB19" s="134">
        <f t="shared" si="18"/>
        <v>80</v>
      </c>
      <c r="AC19" s="134">
        <f t="shared" si="18"/>
        <v>0</v>
      </c>
      <c r="AD19" s="134">
        <f t="shared" si="18"/>
        <v>1</v>
      </c>
      <c r="AE19" s="134">
        <f t="shared" si="18"/>
        <v>1</v>
      </c>
      <c r="AF19" s="134">
        <f t="shared" si="18"/>
        <v>0</v>
      </c>
      <c r="AG19" s="134">
        <f t="shared" si="18"/>
        <v>36</v>
      </c>
      <c r="AH19" s="134">
        <f t="shared" si="18"/>
        <v>209</v>
      </c>
      <c r="AI19" s="134">
        <f t="shared" si="18"/>
        <v>167</v>
      </c>
      <c r="AJ19" s="134">
        <f t="shared" si="18"/>
        <v>75</v>
      </c>
      <c r="AK19" s="134">
        <f t="shared" si="18"/>
        <v>0</v>
      </c>
      <c r="AL19" s="134">
        <f t="shared" si="18"/>
        <v>3</v>
      </c>
      <c r="AM19" s="134">
        <f t="shared" si="18"/>
        <v>3</v>
      </c>
      <c r="AN19" s="213">
        <f t="shared" si="18"/>
        <v>0</v>
      </c>
      <c r="AO19" s="214">
        <v>5</v>
      </c>
      <c r="AP19" s="214">
        <v>4</v>
      </c>
      <c r="AQ19" s="214">
        <v>4</v>
      </c>
      <c r="AR19" s="214">
        <v>4</v>
      </c>
      <c r="AS19" s="156">
        <f t="shared" si="18"/>
        <v>0</v>
      </c>
      <c r="AT19" s="156">
        <f t="shared" si="18"/>
        <v>0</v>
      </c>
      <c r="AU19" s="214"/>
      <c r="AV19" s="215"/>
      <c r="AW19" s="214"/>
      <c r="AX19" s="215"/>
      <c r="AY19" s="133">
        <f>SUBTOTAL(9,AY9:AY18)</f>
        <v>3199</v>
      </c>
      <c r="AZ19" s="134">
        <f>SUBTOTAL(9,AZ9:AZ18)</f>
        <v>7677</v>
      </c>
      <c r="BA19" s="134">
        <f>SUBTOTAL(9,BA9:BA18)</f>
        <v>6703</v>
      </c>
      <c r="BB19" s="134">
        <f>SUBTOTAL(9,BB9:BB18)</f>
        <v>3786</v>
      </c>
      <c r="BC19" s="135">
        <f>SUBTOTAL(9,BC9:BC18)</f>
        <v>1575</v>
      </c>
      <c r="BD19" s="216">
        <f>IF(ISNUMBER(BA19/AZ19),BA19/AZ19," - ")</f>
        <v>0.87312752377230685</v>
      </c>
      <c r="BE19" s="213">
        <f>IF(ISNUMBER(BB19/BA19),BB19/BA19, " - ")</f>
        <v>0.56482172161718636</v>
      </c>
      <c r="BF19" s="213">
        <f>IF(ISNUMBER(BC19/BA19),BC19/BA19, " - ")</f>
        <v>0.2349694166790989</v>
      </c>
      <c r="BG19" s="135">
        <f>IF(ISNUMBER((AY19+AZ19)/BA19),(AY19+AZ19)/BA19," - ")</f>
        <v>1.6225570640011935</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hquFaHlRFRLNHpPjdE47xBR7gTHNPNv6jyURRr0PXqMD4cnHpxAuBOTPYfhNbES15WIu9Y7c5ADKoJI+b1GqQ==" saltValue="+q3bUTMxKOEtmmZjYxD83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b3dD8cRex/KQkLuNU1tJZQVlkeMnFvXStRrOMagJwaGjtFurCGog1kh2NiHXhYktS8QoOLxfr8B/4ism5+vUg==" saltValue="ewVMoF9Pmegg5tuZxsYzz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ARCOS DE LA FRONTERA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33</v>
      </c>
      <c r="G10" s="336">
        <f>IF(ISNUMBER(Datos!I10),Datos!I10," - ")</f>
        <v>33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43</v>
      </c>
      <c r="AC10" s="229">
        <f>IF(ISNUMBER(Datos!Q10),Datos!Q10," - ")</f>
        <v>0</v>
      </c>
      <c r="AD10" s="337"/>
      <c r="AE10" s="487"/>
      <c r="AF10" s="335">
        <f>IF(ISNUMBER(Datos!L10),Datos!L10,"-")</f>
        <v>33</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15</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8.4418604651162799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199</v>
      </c>
      <c r="O12" s="337"/>
      <c r="P12" s="337"/>
      <c r="Q12" s="229">
        <f>IF(ISNUMBER(Datos!P12),Datos!P12,0)</f>
        <v>604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431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80</v>
      </c>
      <c r="AI12" s="337" t="str">
        <f>IF(ISNUMBER(Datos!CD12),Datos!CD12,"-")</f>
        <v>-</v>
      </c>
      <c r="AJ12" s="337" t="str">
        <f>IF(ISNUMBER(Datos!EN12),Datos!EN12," - ")</f>
        <v xml:space="preserve"> - </v>
      </c>
      <c r="AK12" s="337"/>
      <c r="AL12" s="482"/>
      <c r="AM12" s="338">
        <f>IF(ISNUMBER(Datos!R12),Datos!R12," - ")</f>
        <v>2769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572</v>
      </c>
      <c r="BD12" s="232">
        <f>IF(ISNUMBER(Datos!N12),Datos!N12," - ")</f>
        <v>875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0.81370885646420088</v>
      </c>
      <c r="BH12" s="263">
        <f>IF(ISNUMBER(((IF(J_V="SI",Datos!L12/Datos!K12,(Datos!L12+Datos!AB12)/(Datos!K12+Datos!AA12)))*11)/factor_trimestre),((IF(J_V="SI",Datos!L12/Datos!K12,(Datos!L12+Datos!AB12)/(Datos!K12+Datos!AA12)))*11)/factor_trimestre," - ")</f>
        <v>12.229357798165138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6.6640986132511557E-2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33</v>
      </c>
      <c r="G13" s="901">
        <f t="shared" si="0"/>
        <v>33</v>
      </c>
      <c r="H13" s="902">
        <f t="shared" si="0"/>
        <v>0</v>
      </c>
      <c r="I13" s="901">
        <f t="shared" si="0"/>
        <v>0</v>
      </c>
      <c r="J13" s="870">
        <f t="shared" si="0"/>
        <v>0</v>
      </c>
      <c r="K13" s="870">
        <f t="shared" si="0"/>
        <v>0</v>
      </c>
      <c r="L13" s="902">
        <f t="shared" si="0"/>
        <v>0</v>
      </c>
      <c r="M13" s="902">
        <f t="shared" si="0"/>
        <v>0</v>
      </c>
      <c r="N13" s="902">
        <f t="shared" si="0"/>
        <v>199</v>
      </c>
      <c r="O13" s="903">
        <f t="shared" si="0"/>
        <v>0</v>
      </c>
      <c r="P13" s="903">
        <f t="shared" si="0"/>
        <v>0</v>
      </c>
      <c r="Q13" s="902">
        <f t="shared" si="0"/>
        <v>604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43</v>
      </c>
      <c r="AC13" s="902">
        <f t="shared" si="1"/>
        <v>431</v>
      </c>
      <c r="AD13" s="902">
        <f t="shared" si="1"/>
        <v>0</v>
      </c>
      <c r="AE13" s="902">
        <f t="shared" si="1"/>
        <v>0</v>
      </c>
      <c r="AF13" s="902">
        <f t="shared" si="1"/>
        <v>33</v>
      </c>
      <c r="AG13" s="902">
        <f t="shared" si="1"/>
        <v>0</v>
      </c>
      <c r="AH13" s="902">
        <f t="shared" si="1"/>
        <v>80</v>
      </c>
      <c r="AI13" s="902">
        <f t="shared" si="1"/>
        <v>0</v>
      </c>
      <c r="AJ13" s="902">
        <f t="shared" si="1"/>
        <v>0</v>
      </c>
      <c r="AK13" s="902">
        <f t="shared" si="1"/>
        <v>0</v>
      </c>
      <c r="AL13" s="902">
        <f t="shared" si="1"/>
        <v>0</v>
      </c>
      <c r="AM13" s="902">
        <f t="shared" si="1"/>
        <v>2771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587</v>
      </c>
      <c r="BD13" s="902">
        <f t="shared" si="1"/>
        <v>875</v>
      </c>
      <c r="BE13" s="902">
        <f t="shared" si="1"/>
        <v>0</v>
      </c>
      <c r="BF13" s="902">
        <f t="shared" si="1"/>
        <v>0</v>
      </c>
      <c r="BG13" s="902">
        <f>IF(ISNUMBER(Datos!K13/Datos!J13),Datos!K13/Datos!J13," - ")</f>
        <v>0.80544607667502688</v>
      </c>
      <c r="BH13" s="906">
        <f>IF(ISNUMBER(((Datos!L13/Datos!K13)*11)/factor_trimestre),((Datos!L13/Datos!K13)*11)/factor_trimestre," - ")</f>
        <v>12.815391459074732</v>
      </c>
      <c r="BI13" s="902">
        <f>IF(ISNUMBER('Resol  Asuntos'!D13/NºAsuntos!G13),'Resol  Asuntos'!D13/NºAsuntos!G13," - ")</f>
        <v>0.24047521507578862</v>
      </c>
      <c r="BJ13" s="902" t="str">
        <f>IF(ISNUMBER(Datos!CI13/Datos!CJ13),Datos!CI13/Datos!CJ13," - ")</f>
        <v xml:space="preserve"> - </v>
      </c>
      <c r="BK13" s="902">
        <f>SUBTOTAL(9,BK8:BK12)</f>
        <v>0</v>
      </c>
      <c r="BL13" s="902">
        <f>IF(ISNUMBER((I13-AB13+L13)/(F13)),(I13-AB13+L13)/(F13)," - ")</f>
        <v>-1.303030303030303</v>
      </c>
      <c r="BM13" s="907">
        <f>SUBTOTAL(9,BM9:BM12)</f>
        <v>6.6640986132511557E-2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1321</v>
      </c>
      <c r="G16" s="601">
        <f>IF(ISNUMBER(IF(D_I="SI",Datos!I16,Datos!I16+Datos!AC16)),IF(D_I="SI",Datos!I16,Datos!I16+Datos!AC16)," - ")</f>
        <v>1268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4254</v>
      </c>
      <c r="AC16" s="229">
        <f>IF(ISNUMBER(Datos!Q16),Datos!Q16," - ")</f>
        <v>124</v>
      </c>
      <c r="AD16" s="337"/>
      <c r="AE16" s="487"/>
      <c r="AF16" s="599">
        <f>IF(ISNUMBER(IF(D_I="SI",Datos!L16,Datos!L16+Datos!AF16)),IF(D_I="SI",Datos!L16,Datos!L16+Datos!AF16)," - ")</f>
        <v>1551</v>
      </c>
      <c r="AG16" s="337"/>
      <c r="AH16" s="337"/>
      <c r="AI16" s="337"/>
      <c r="AJ16" s="337"/>
      <c r="AK16" s="337"/>
      <c r="AL16" s="482"/>
      <c r="AM16" s="338">
        <f>IF(ISNUMBER(Datos!R16),Datos!R16," - ")</f>
        <v>105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478</v>
      </c>
      <c r="BD16" s="232">
        <f>IF(ISNUMBER(Datos!N16),Datos!N16," - ")</f>
        <v>2768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0.94870651204281886</v>
      </c>
      <c r="BH16" s="263">
        <f>IF(ISNUMBER(((IF(D_I="SI",Datos!L16/Datos!K16,(Datos!L16+Datos!AF16)/(Datos!K16+Datos!AE16)))*11)/factor_trimestre),((IF(D_I="SI",Datos!L16/Datos!K16,(Datos!L16+Datos!AF16)/(Datos!K16+Datos!AE16)))*11)/factor_trimestre," - ")</f>
        <v>4.0105782792665723</v>
      </c>
      <c r="BI16" s="246">
        <f>IF(ISNUMBER('Resol  Asuntos'!D16/NºAsuntos!G16),'Resol  Asuntos'!D16/NºAsuntos!G16," - ")</f>
        <v>0.11236483309826047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345</v>
      </c>
      <c r="AC17" s="229">
        <f>IF(ISNUMBER(Datos!Q17),Datos!Q17," - ")</f>
        <v>2</v>
      </c>
      <c r="AD17" s="337"/>
      <c r="AE17" s="487"/>
      <c r="AF17" s="335">
        <f>IF(ISNUMBER(Datos!L17),Datos!L17,"-")</f>
        <v>45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46</v>
      </c>
      <c r="BD17" s="232">
        <f>IF(ISNUMBER(Datos!N17),Datos!N17," - ")</f>
        <v>208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0.94262295081967218</v>
      </c>
      <c r="BH17" s="263">
        <f>IF(ISNUMBER(((IF(D_I="SI",Datos!L17/Datos!K17,(Datos!L17+Datos!AF17)/(Datos!K17+Datos!AE17)))*11)/factor_trimestre),((IF(D_I="SI",Datos!L17/Datos!K17,(Datos!L17+Datos!AF17)/(Datos!K17+Datos!AE17)))*11)/factor_trimestre," - ")</f>
        <v>1.4347826086956521</v>
      </c>
      <c r="BI17" s="246">
        <f>IF(ISNUMBER('Resol  Asuntos'!D17/NºAsuntos!G17),'Resol  Asuntos'!D17/NºAsuntos!G17," - ")</f>
        <v>0.13333333333333333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1321</v>
      </c>
      <c r="G18" s="901">
        <f>SUBTOTAL(9,G15:G17)</f>
        <v>1299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4599</v>
      </c>
      <c r="AC18" s="902">
        <f t="shared" si="4"/>
        <v>126</v>
      </c>
      <c r="AD18" s="902">
        <f t="shared" si="4"/>
        <v>0</v>
      </c>
      <c r="AE18" s="902">
        <f t="shared" si="4"/>
        <v>0</v>
      </c>
      <c r="AF18" s="902">
        <f t="shared" si="4"/>
        <v>1596</v>
      </c>
      <c r="AG18" s="902">
        <f t="shared" si="4"/>
        <v>0</v>
      </c>
      <c r="AH18" s="902">
        <f t="shared" si="4"/>
        <v>0</v>
      </c>
      <c r="AI18" s="902">
        <f t="shared" si="4"/>
        <v>0</v>
      </c>
      <c r="AJ18" s="902">
        <f t="shared" si="4"/>
        <v>0</v>
      </c>
      <c r="AK18" s="902">
        <f t="shared" si="4"/>
        <v>0</v>
      </c>
      <c r="AL18" s="902">
        <f t="shared" si="4"/>
        <v>0</v>
      </c>
      <c r="AM18" s="902">
        <f t="shared" si="4"/>
        <v>105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524</v>
      </c>
      <c r="BD18" s="902">
        <f t="shared" si="4"/>
        <v>2976</v>
      </c>
      <c r="BE18" s="902">
        <f t="shared" si="4"/>
        <v>0</v>
      </c>
      <c r="BF18" s="902">
        <f t="shared" si="4"/>
        <v>0</v>
      </c>
      <c r="BG18" s="902">
        <f>IF(ISNUMBER(Datos!K18/Datos!J18),Datos!K18/Datos!J18," - ")</f>
        <v>0.9482474226804124</v>
      </c>
      <c r="BH18" s="906">
        <f>IF(ISNUMBER(((Datos!L18/Datos!K18)*11)/factor_trimestre),((Datos!L18/Datos!K18)*11)/factor_trimestre," - ")</f>
        <v>3.8173515981735155</v>
      </c>
      <c r="BI18" s="902">
        <f>SUBTOTAL(9,BI15:BI17)</f>
        <v>0.24569816643159381</v>
      </c>
      <c r="BJ18" s="902">
        <f>SUBTOTAL(9,BJ15:BJ17)</f>
        <v>0</v>
      </c>
      <c r="BK18" s="902">
        <f>SUBTOTAL(9,BK15:BK17)</f>
        <v>0</v>
      </c>
      <c r="BL18" s="902">
        <f>IF(ISNUMBER((I18-AB18+L18)/(F18)),(I18-AB18+L18)/(F18)," - ")</f>
        <v>-3.4814534443603331</v>
      </c>
      <c r="BM18" s="908">
        <f>IF(ISNUMBER((Datos!P18-Datos!Q18)/(Datos!R18-Datos!P18+Datos!Q18)),(Datos!P18-Datos!Q18)/(Datos!R18-Datos!P18+Datos!Q18)," - ")</f>
        <v>-0.25531914893617019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1354</v>
      </c>
      <c r="G19" s="823">
        <f t="shared" si="6"/>
        <v>1332</v>
      </c>
      <c r="H19" s="825">
        <f t="shared" si="6"/>
        <v>0</v>
      </c>
      <c r="I19" s="823">
        <f t="shared" si="6"/>
        <v>0</v>
      </c>
      <c r="J19" s="825">
        <f t="shared" si="6"/>
        <v>0</v>
      </c>
      <c r="K19" s="825">
        <f t="shared" si="6"/>
        <v>0</v>
      </c>
      <c r="L19" s="884">
        <f t="shared" si="6"/>
        <v>0</v>
      </c>
      <c r="M19" s="884">
        <f t="shared" si="6"/>
        <v>0</v>
      </c>
      <c r="N19" s="884">
        <f t="shared" si="6"/>
        <v>199</v>
      </c>
      <c r="O19" s="884">
        <f t="shared" si="6"/>
        <v>0</v>
      </c>
      <c r="P19" s="884">
        <f t="shared" si="6"/>
        <v>0</v>
      </c>
      <c r="Q19" s="825">
        <f t="shared" si="6"/>
        <v>694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4642</v>
      </c>
      <c r="AC19" s="824">
        <f t="shared" si="7"/>
        <v>557</v>
      </c>
      <c r="AD19" s="824">
        <f t="shared" si="7"/>
        <v>0</v>
      </c>
      <c r="AE19" s="824">
        <f t="shared" si="7"/>
        <v>0</v>
      </c>
      <c r="AF19" s="831">
        <f t="shared" si="7"/>
        <v>1629</v>
      </c>
      <c r="AG19" s="831">
        <f t="shared" si="7"/>
        <v>0</v>
      </c>
      <c r="AH19" s="831">
        <f t="shared" si="7"/>
        <v>80</v>
      </c>
      <c r="AI19" s="831">
        <f t="shared" si="7"/>
        <v>0</v>
      </c>
      <c r="AJ19" s="824">
        <f t="shared" si="7"/>
        <v>0</v>
      </c>
      <c r="AK19" s="831">
        <f t="shared" si="7"/>
        <v>0</v>
      </c>
      <c r="AL19" s="831">
        <f t="shared" si="7"/>
        <v>0</v>
      </c>
      <c r="AM19" s="831">
        <f t="shared" si="7"/>
        <v>2876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1111</v>
      </c>
      <c r="BD19" s="823">
        <f t="shared" si="7"/>
        <v>3851</v>
      </c>
      <c r="BE19" s="823">
        <f t="shared" si="7"/>
        <v>0</v>
      </c>
      <c r="BF19" s="833">
        <f t="shared" si="7"/>
        <v>0</v>
      </c>
      <c r="BG19" s="918">
        <f>IF(ISNUMBER(Datos!K19/Datos!J19),Datos!K19/Datos!J19," - ")</f>
        <v>0.8960868996204685</v>
      </c>
      <c r="BH19" s="918">
        <f>IF(ISNUMBER(((Datos!L19/Datos!K19)*11)/factor_trimestre),((Datos!L19/Datos!K19)*11)/factor_trimestre," - ")</f>
        <v>6.7715787936322478</v>
      </c>
      <c r="BI19" s="816">
        <f>IF(ISNUMBER(Datos!J19/Datos!I19),Datos!J19/Datos!I19," - ")</f>
        <v>2.0590137429264348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-3.4283604135893651</v>
      </c>
      <c r="BM19" s="892">
        <f>IF(ISNUMBER((Datos!P19-Datos!Q19+R19)/(Datos!R19-Datos!P19+Datos!Q19-R19)),(Datos!P19-Datos!Q19+R19)/(Datos!R19-Datos!P19+Datos!Q19-R19)," - ")</f>
        <v>5.0018254837531945E-2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532.79999999999995</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743.62714671623803</v>
      </c>
      <c r="G21" s="555">
        <f>IF(ISNUMBER(STDEV(G8:G18)),STDEV(G8:G18),"-")</f>
        <v>685.38033237028333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2352.2068786567224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266.18539904860796</v>
      </c>
      <c r="BD21" s="554"/>
      <c r="BE21" s="554">
        <f>IF(ISNUMBER(STDEV(BE8:BE18)),STDEV(BE8:BE18),"-")</f>
        <v>0</v>
      </c>
      <c r="BF21" s="559">
        <f>IF(ISNUMBER(STDEV(BF8:BF18)),STDEV(BF8:BF18),"-")</f>
        <v>0</v>
      </c>
      <c r="BG21" s="778">
        <f>IF(ISNUMBER(STDEV(BG8:BG18)),STDEV(BG8:BG18),"-")</f>
        <v>8.0409645559677501E-2</v>
      </c>
      <c r="BH21" s="779">
        <f>IF(ISNUMBER(STDEV(BH8:BH18)),STDEV(BH8:BH18),"-")</f>
        <v>4.7578961624273228</v>
      </c>
      <c r="BI21" s="252">
        <f>IF(ISNUMBER(STDEV(BI8:BI18)),STDEV(BI8:BI18),"-")</f>
        <v>6.9977522290907548E-2</v>
      </c>
      <c r="BJ21" s="233" t="str">
        <f>IF(ISNUMBER(BL21/BM21),BL21/BM21," - ")</f>
        <v xml:space="preserve"> - </v>
      </c>
      <c r="BK21" s="578"/>
      <c r="BL21" s="562">
        <f>IF(ISNUMBER(STDEV(BL8:BL18)),STDEV(BL8:BL18),"-")</f>
        <v>1.5403777755281647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Wup5WgNgO9o1ZjP8djH4pNdM3n9lJnxsCFvS80Eb1kSkVUtc3n0lxmEklX2uBxnZZWCmXFKkjXOutB6NdmwLUw==" saltValue="w7Kx0cV7quTgcX3rP5V9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ARCOS DE LA FRONTERA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33</v>
      </c>
      <c r="G10" s="228">
        <f>IF(ISNUMBER(Datos!I10),Datos!I10," - ")</f>
        <v>33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43</v>
      </c>
      <c r="Z10" s="622">
        <f>IF(ISNUMBER(Datos!Q10),Datos!Q10," - ")</f>
        <v>0</v>
      </c>
      <c r="AA10" s="335">
        <f>IF(ISNUMBER(Datos!L10),Datos!L10,"-")</f>
        <v>33</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15</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8.4418604651162799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604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431</v>
      </c>
      <c r="AA12" s="335" t="str">
        <f>IF(ISNUMBER(IF(J_V="SI",Datos!L12,Datos!L12+Datos!AB12)-IF(Monitorios="SI",Datos!CD12,0)),
                          IF(J_V="SI",Datos!L12,Datos!L12+Datos!AB12)-IF(Monitorios="SI",Datos!CD12,0),
                          " - ")</f>
        <v xml:space="preserve"> - </v>
      </c>
      <c r="AB12" s="337"/>
      <c r="AC12" s="337"/>
      <c r="AD12" s="487"/>
      <c r="AE12" s="487">
        <f>IF(ISNUMBER(Datos!R12),Datos!R12," - ")</f>
        <v>2769</v>
      </c>
      <c r="AF12" s="232" t="str">
        <f>IF(ISNUMBER(Datos!BV12),Datos!BV12," - ")</f>
        <v xml:space="preserve"> - </v>
      </c>
      <c r="AG12" s="228" t="str">
        <f>IF(ISNUMBER(Datos!DV12),Datos!DV12," - ")</f>
        <v xml:space="preserve"> - </v>
      </c>
      <c r="AH12" s="301"/>
      <c r="AI12" s="230"/>
      <c r="AJ12" s="228">
        <f>IF(ISNUMBER(Datos!M12),Datos!M12," - ")</f>
        <v>572</v>
      </c>
      <c r="AK12" s="232">
        <f>IF(ISNUMBER(Datos!N12),Datos!N12," - ")</f>
        <v>875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12.229357798165138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6.6640986132511557E-2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33</v>
      </c>
      <c r="G13" s="901">
        <f>SUBTOTAL(9,G8:G12)</f>
        <v>33</v>
      </c>
      <c r="H13" s="911"/>
      <c r="I13" s="901">
        <f t="shared" ref="I13:N13" si="0">SUBTOTAL(9,I8:I12)</f>
        <v>0</v>
      </c>
      <c r="J13" s="870">
        <f t="shared" si="0"/>
        <v>0</v>
      </c>
      <c r="K13" s="911">
        <f t="shared" si="0"/>
        <v>0</v>
      </c>
      <c r="L13" s="911">
        <f t="shared" si="0"/>
        <v>0</v>
      </c>
      <c r="M13" s="911">
        <f t="shared" si="0"/>
        <v>0</v>
      </c>
      <c r="N13" s="911">
        <f t="shared" si="0"/>
        <v>604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43</v>
      </c>
      <c r="Z13" s="910">
        <f t="shared" si="2"/>
        <v>431</v>
      </c>
      <c r="AA13" s="903">
        <f t="shared" si="2"/>
        <v>33</v>
      </c>
      <c r="AB13" s="903">
        <f t="shared" si="2"/>
        <v>0</v>
      </c>
      <c r="AC13" s="903">
        <f t="shared" si="2"/>
        <v>0</v>
      </c>
      <c r="AD13" s="903">
        <f t="shared" si="2"/>
        <v>0</v>
      </c>
      <c r="AE13" s="903">
        <f t="shared" si="2"/>
        <v>2771</v>
      </c>
      <c r="AF13" s="911">
        <f t="shared" si="2"/>
        <v>0</v>
      </c>
      <c r="AG13" s="911">
        <f t="shared" si="2"/>
        <v>0</v>
      </c>
      <c r="AH13" s="911">
        <f t="shared" si="2"/>
        <v>0</v>
      </c>
      <c r="AI13" s="911">
        <f t="shared" si="2"/>
        <v>0</v>
      </c>
      <c r="AJ13" s="911">
        <f t="shared" si="2"/>
        <v>587</v>
      </c>
      <c r="AK13" s="911">
        <f t="shared" si="2"/>
        <v>875</v>
      </c>
      <c r="AL13" s="911">
        <f t="shared" si="2"/>
        <v>0</v>
      </c>
      <c r="AM13" s="911">
        <f t="shared" si="2"/>
        <v>0</v>
      </c>
      <c r="AN13" s="911">
        <f t="shared" si="2"/>
        <v>0</v>
      </c>
      <c r="AO13" s="907">
        <f>IF(ISNUMBER(((NºAsuntos!I13/NºAsuntos!G13)*11)/factor_trimestre),((NºAsuntos!I13/NºAsuntos!G13)*11)/factor_trimestre," - ")</f>
        <v>12.162638263006963</v>
      </c>
      <c r="AP13" s="913" t="str">
        <f>IF(ISNUMBER(Datos!CI13/Datos!CJ13),Datos!CI13/Datos!CJ13," - ")</f>
        <v xml:space="preserve"> - </v>
      </c>
      <c r="AQ13" s="931">
        <f t="shared" ref="AQ13:AV13" si="3">SUBTOTAL(9,AQ9:AQ12)</f>
        <v>0</v>
      </c>
      <c r="AR13" s="931">
        <f t="shared" si="3"/>
        <v>6.6640986132511557E-2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1321</v>
      </c>
      <c r="G16" s="228">
        <f>IF(ISNUMBER(IF(D_I="SI",Datos!I16,Datos!I16+Datos!AC16)),IF(D_I="SI",Datos!I16,Datos!I16+Datos!AC16)," - ")</f>
        <v>1268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4254</v>
      </c>
      <c r="Z16" s="622">
        <f>IF(ISNUMBER(Datos!Q16),Datos!Q16," - ")</f>
        <v>124</v>
      </c>
      <c r="AA16" s="335">
        <f>IF(ISNUMBER(IF(D_I="SI",Datos!L16,Datos!L16+Datos!AF16)),IF(D_I="SI",Datos!L16,Datos!L16+Datos!AF16)," - ")</f>
        <v>1551</v>
      </c>
      <c r="AB16" s="337"/>
      <c r="AC16" s="337"/>
      <c r="AD16" s="487"/>
      <c r="AE16" s="487">
        <f>IF(ISNUMBER(Datos!R16),Datos!R16," - ")</f>
        <v>105</v>
      </c>
      <c r="AF16" s="232" t="str">
        <f>IF(ISNUMBER(Datos!BV16),Datos!BV16," - ")</f>
        <v xml:space="preserve"> - </v>
      </c>
      <c r="AG16" s="228"/>
      <c r="AH16" s="301"/>
      <c r="AI16" s="230"/>
      <c r="AJ16" s="228">
        <f>IF(ISNUMBER(Datos!M16),Datos!M16," - ")</f>
        <v>478</v>
      </c>
      <c r="AK16" s="232">
        <f>IF(ISNUMBER(Datos!N16),Datos!N16," - ")</f>
        <v>2768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4.0105782792665723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345</v>
      </c>
      <c r="Z17" s="622">
        <f>IF(ISNUMBER(Datos!Q17),Datos!Q17," - ")</f>
        <v>2</v>
      </c>
      <c r="AA17" s="335">
        <f>IF(ISNUMBER(Datos!L17),Datos!L17,"-")</f>
        <v>45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46</v>
      </c>
      <c r="AK17" s="232">
        <f>IF(ISNUMBER(Datos!N17),Datos!N17," - ")</f>
        <v>208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1.4347826086956521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1321</v>
      </c>
      <c r="G18" s="901">
        <f>SUBTOTAL(9,G15:G17)</f>
        <v>1299</v>
      </c>
      <c r="H18" s="935">
        <f>SUBTOTAL(9,H15:H17)</f>
        <v>0</v>
      </c>
      <c r="I18" s="914">
        <f>SUBTOTAL(9,I15:I17)</f>
        <v>0</v>
      </c>
      <c r="J18" s="870">
        <f>SUBTOTAL(9,J14:J17)</f>
        <v>0</v>
      </c>
      <c r="K18" s="935">
        <f t="shared" ref="K18:S18" si="4">SUBTOTAL(9,K15:K17)</f>
        <v>0</v>
      </c>
      <c r="L18" s="935">
        <f t="shared" si="4"/>
        <v>0</v>
      </c>
      <c r="M18" s="935">
        <f t="shared" si="4"/>
        <v>0</v>
      </c>
      <c r="N18" s="935">
        <f t="shared" si="4"/>
        <v>90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4599</v>
      </c>
      <c r="Z18" s="935">
        <f t="shared" si="5"/>
        <v>126</v>
      </c>
      <c r="AA18" s="935">
        <f t="shared" si="5"/>
        <v>1596</v>
      </c>
      <c r="AB18" s="935">
        <f t="shared" si="5"/>
        <v>0</v>
      </c>
      <c r="AC18" s="935">
        <f t="shared" si="5"/>
        <v>0</v>
      </c>
      <c r="AD18" s="935">
        <f t="shared" si="5"/>
        <v>0</v>
      </c>
      <c r="AE18" s="935">
        <f t="shared" si="5"/>
        <v>105</v>
      </c>
      <c r="AF18" s="935">
        <f t="shared" si="5"/>
        <v>0</v>
      </c>
      <c r="AG18" s="935">
        <f t="shared" si="5"/>
        <v>0</v>
      </c>
      <c r="AH18" s="935">
        <f t="shared" si="5"/>
        <v>0</v>
      </c>
      <c r="AI18" s="935">
        <f t="shared" si="5"/>
        <v>0</v>
      </c>
      <c r="AJ18" s="935">
        <f t="shared" si="5"/>
        <v>524</v>
      </c>
      <c r="AK18" s="935">
        <f t="shared" si="5"/>
        <v>2976</v>
      </c>
      <c r="AL18" s="935">
        <f t="shared" si="5"/>
        <v>0</v>
      </c>
      <c r="AM18" s="935">
        <f t="shared" si="5"/>
        <v>0</v>
      </c>
      <c r="AN18" s="935">
        <f t="shared" si="5"/>
        <v>0</v>
      </c>
      <c r="AO18" s="937">
        <f>IF(ISNUMBER(((NºAsuntos!I18/NºAsuntos!G18)*11)/factor_trimestre),((NºAsuntos!I18/NºAsuntos!G18)*11)/factor_trimestre," - ")</f>
        <v>3.8173515981735155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1354</v>
      </c>
      <c r="G19" s="823">
        <f t="shared" si="7"/>
        <v>1332</v>
      </c>
      <c r="H19" s="824">
        <f t="shared" si="7"/>
        <v>0</v>
      </c>
      <c r="I19" s="823">
        <f t="shared" si="7"/>
        <v>0</v>
      </c>
      <c r="J19" s="825">
        <f t="shared" si="7"/>
        <v>0</v>
      </c>
      <c r="K19" s="823">
        <f t="shared" si="7"/>
        <v>0</v>
      </c>
      <c r="L19" s="826">
        <f t="shared" si="7"/>
        <v>0</v>
      </c>
      <c r="M19" s="823">
        <f t="shared" si="7"/>
        <v>0</v>
      </c>
      <c r="N19" s="824">
        <f t="shared" si="7"/>
        <v>694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4642</v>
      </c>
      <c r="Z19" s="830">
        <f t="shared" si="8"/>
        <v>557</v>
      </c>
      <c r="AA19" s="831">
        <f t="shared" si="8"/>
        <v>1629</v>
      </c>
      <c r="AB19" s="831">
        <f t="shared" si="8"/>
        <v>0</v>
      </c>
      <c r="AC19" s="831">
        <f t="shared" si="8"/>
        <v>0</v>
      </c>
      <c r="AD19" s="832">
        <f t="shared" si="8"/>
        <v>0</v>
      </c>
      <c r="AE19" s="832">
        <f t="shared" si="8"/>
        <v>2876</v>
      </c>
      <c r="AF19" s="833">
        <f t="shared" si="8"/>
        <v>0</v>
      </c>
      <c r="AG19" s="834">
        <f t="shared" si="8"/>
        <v>0</v>
      </c>
      <c r="AH19" s="835">
        <f t="shared" si="8"/>
        <v>0</v>
      </c>
      <c r="AI19" s="833">
        <f t="shared" si="8"/>
        <v>0</v>
      </c>
      <c r="AJ19" s="823">
        <f t="shared" si="8"/>
        <v>1111</v>
      </c>
      <c r="AK19" s="823">
        <f t="shared" si="8"/>
        <v>3851</v>
      </c>
      <c r="AL19" s="823">
        <f t="shared" si="8"/>
        <v>0</v>
      </c>
      <c r="AM19" s="836">
        <f t="shared" si="8"/>
        <v>0</v>
      </c>
      <c r="AN19" s="826">
        <f>IF(ISNUMBER(Datos!K19/Datos!J19),Datos!K19/Datos!J19," - ")</f>
        <v>0.8960868996204685</v>
      </c>
      <c r="AO19" s="826">
        <f>IF(ISNUMBER(FIND("06",Criterios!A8,1)),(IF(ISNUMBER(((Datos!R19/Datos!Q19)*11)/factor_trimestre),((Datos!R19/Datos!Q19)*11)/factor_trimestre," - ")),(IF(ISNUMBER(((Datos!L19/Datos!K19)*11)/factor_trimestre),((Datos!L19/Datos!K19)*11)/factor_trimestre," - ")))</f>
        <v>6.7715787936322478</v>
      </c>
      <c r="AP19" s="837" t="str">
        <f>IF(ISNUMBER(Datos!CI19/Datos!CJ19),Datos!CI19/Datos!CJ19," - ")</f>
        <v xml:space="preserve"> - </v>
      </c>
      <c r="AQ19" s="837">
        <f>IF(OR(ISNUMBER(FIND("01",Criterios!A8,1)),ISNUMBER(FIND("02",Criterios!A8,1)),ISNUMBER(FIND("03",Criterios!A8,1)),ISNUMBER(FIND("04",Criterios!A8,1))),(J19-Y19+K19)/(F19-K19),(I19-Y19+K19)/(F19-K19))</f>
        <v>-3.4283604135893651</v>
      </c>
      <c r="AR19" s="837">
        <f>IF(ISNUMBER((Datos!P19-Datos!Q19+O19)/(Datos!R19-Datos!P19+Datos!Q19-O19)),(Datos!P19-Datos!Q19+O19)/(Datos!R19-Datos!P19+Datos!Q19-O19)," - ")</f>
        <v>5.0018254837531945E-2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532.79999999999995</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743.62714671623803</v>
      </c>
      <c r="G21" s="555">
        <f>IF(ISNUMBER(STDEV(G8:G18)),STDEV(G8:G18),"-")</f>
        <v>685.38033237028333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266.18539904860796</v>
      </c>
      <c r="AK21" s="255"/>
      <c r="AL21" s="255">
        <f>IF(ISNUMBER(STDEV(AL8:AL18)),STDEV(AL8:AL18),"-")</f>
        <v>0</v>
      </c>
      <c r="AM21" s="257">
        <f>IF(ISNUMBER(STDEV(AM8:AM18)),STDEV(AM8:AM18),"-")</f>
        <v>0</v>
      </c>
      <c r="AN21" s="542">
        <f>IF(ISNUMBER(STDEV(AN8:AN18)),STDEV(AN8:AN18),"-")</f>
        <v>0</v>
      </c>
      <c r="AO21" s="543">
        <f>IF(ISNUMBER(STDEV(AO8:AO18)),STDEV(AO8:AO18),"-")</f>
        <v>4.6068202014169648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5+Bp12BJimGIUk6MEtXZKSHCE9oUOAnpuCJvXPc6R5jt0o/QXhKmdK0FY/6HVtrndAWounE2G8mrl/WPFjAAKw==" saltValue="O83BycEiZhXiz7ATrzkQ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RRegTp3mGgwiY+WYe7P9EWi+0eV/f2eoqrufHQY7kHfIvCB5/7iZ/g+SXVKUEQEDC5FOaKIuMzgcQnfwGkmNnQ==" saltValue="DvRbK0RvckL4eFTv+ZI8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3r6gHfzLIg6B8yBF5q5kNqvVZDVAADkTep6fvzRSPLCkhagKCXbnO/fI4jsNu9SmbZMUp7SIQWNMAD5D4ddzw==" saltValue="S1kCrr/H3yjkC5YakZdZu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ARCOS DE LA FRONTERA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0.24047521507578862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0.17004165528738363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KR0q/zEPK0JftEYfP+Qa3HrFNpG8w7b1/UCFT+jFxHhlU+Sx/ce/ULqFgisXuNePMmkZVwhi+jWY2pRzFEUTXQ==" saltValue="v0dy7qKMhtptuw/8qAEgr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D7I6r72WijpHYLC+lIJ1tr8zO3m/0OqDEVlF7kiELELm7al0VsnsHC8R2UWY/Y0Ccgi/PxYPXaDiEfTNFmrdrA==" saltValue="kHDe7U/Uwi0RV1H7n3Wq2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ARCOS DE LA FRONTERA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33</v>
      </c>
      <c r="D10" s="407">
        <f>IF(ISNUMBER(C10/Datos!BH10),C10/Datos!BH10," - ")</f>
        <v>33</v>
      </c>
      <c r="E10" s="406">
        <f>IF(ISNUMBER(Datos!J10),Datos!J10," - ")</f>
        <v>43</v>
      </c>
      <c r="F10" s="407">
        <f>IF(ISNUMBER(E10/B10),E10/B10," - ")</f>
        <v>43</v>
      </c>
      <c r="G10" s="406">
        <f>IF(ISNUMBER(Datos!K10),Datos!K10," - ")</f>
        <v>43</v>
      </c>
      <c r="H10" s="407">
        <f>IF(ISNUMBER(G10/B10),G10/B10," - ")</f>
        <v>43</v>
      </c>
      <c r="I10" s="406">
        <f>IF(ISNUMBER(Datos!L10),Datos!L10," - ")</f>
        <v>33</v>
      </c>
      <c r="J10" s="407">
        <f>IF(ISNUMBER(I10/B10),I10/B10," - ")</f>
        <v>33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2454</v>
      </c>
      <c r="D12" s="407">
        <f>IF(ISNUMBER(C12/Datos!BH12),C12/Datos!BH12," - ")</f>
        <v>613.5</v>
      </c>
      <c r="E12" s="406">
        <f>IF(ISNUMBER(IF(J_V="SI",Datos!J12,Datos!J12+Datos!Z12)),IF(J_V="SI",Datos!J12,Datos!J12+Datos!Z12)," - ")</f>
        <v>2947</v>
      </c>
      <c r="F12" s="407">
        <f>IF(ISNUMBER(E12/B12),E12/B12," - ")</f>
        <v>736.75</v>
      </c>
      <c r="G12" s="406">
        <f>IF(ISNUMBER(IF(J_V="SI",Datos!K12,Datos!K12+Datos!AA12)),IF(J_V="SI",Datos!K12,Datos!K12+Datos!AA12)," - ")</f>
        <v>2398</v>
      </c>
      <c r="H12" s="407">
        <f>IF(ISNUMBER(G12/B12),G12/B12," - ")</f>
        <v>599.5</v>
      </c>
      <c r="I12" s="406">
        <f>IF(ISNUMBER(IF(J_V="SI",Datos!L12,Datos!L12+Datos!AB12)),IF(J_V="SI",Datos!L12,Datos!L12+Datos!AB12)," - ")</f>
        <v>2666</v>
      </c>
      <c r="J12" s="407">
        <f>IF(ISNUMBER(I12/B12),I12/B12," - ")</f>
        <v>666.5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2487</v>
      </c>
      <c r="D13" s="853" t="str">
        <f>IF(ISNUMBER(C13/Datos!BI13),C13/Datos!BI13," - ")</f>
        <v xml:space="preserve"> - </v>
      </c>
      <c r="E13" s="852">
        <f>SUBTOTAL(9,E8:E12)</f>
        <v>2990</v>
      </c>
      <c r="F13" s="853">
        <f>IF(ISNUMBER(E13/B13),E13/B13," - ")</f>
        <v>747.5</v>
      </c>
      <c r="G13" s="852">
        <f>SUBTOTAL(9,G8:G12)</f>
        <v>2441</v>
      </c>
      <c r="H13" s="853">
        <f>IF(ISNUMBER(G13/B13),G13/B13," - ")</f>
        <v>610.25</v>
      </c>
      <c r="I13" s="852">
        <f>SUBTOTAL(9,I8:I12)</f>
        <v>2699</v>
      </c>
      <c r="J13" s="853">
        <f>IF(ISNUMBER(I13/B13),I13/B13," - ")</f>
        <v>674.75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1268</v>
      </c>
      <c r="D16" s="407">
        <f>IF(ISNUMBER(C16/Datos!BH16),C16/Datos!BH16," - ")</f>
        <v>317</v>
      </c>
      <c r="E16" s="406">
        <f>IF(ISNUMBER(IF(D_I="SI",Datos!J16,Datos!J16+Datos!AD16)),IF(D_I="SI",Datos!J16,Datos!J16+Datos!AD16)," - ")</f>
        <v>4484</v>
      </c>
      <c r="F16" s="407">
        <f>IF(ISNUMBER(E16/B16),E16/B16," - ")</f>
        <v>1121</v>
      </c>
      <c r="G16" s="406">
        <f>IF(ISNUMBER(IF(D_I="SI",Datos!K16,Datos!K16+Datos!AE16)),IF(D_I="SI",Datos!K16,Datos!K16+Datos!AE16)," - ")</f>
        <v>4254</v>
      </c>
      <c r="H16" s="407">
        <f>IF(ISNUMBER(G16/B16),G16/B16," - ")</f>
        <v>1063.5</v>
      </c>
      <c r="I16" s="406">
        <f>IF(ISNUMBER(IF(D_I="SI",Datos!L16,Datos!L16+Datos!AF16)),IF(D_I="SI",Datos!L16,Datos!L16+Datos!AF16)," - ")</f>
        <v>1551</v>
      </c>
      <c r="J16" s="407">
        <f>IF(ISNUMBER(I16/B16),I16/B16," - ")</f>
        <v>387.75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31</v>
      </c>
      <c r="D17" s="407">
        <f>IF(ISNUMBER(C17/Datos!BH17),C17/Datos!BH17," - ")</f>
        <v>31</v>
      </c>
      <c r="E17" s="406">
        <f>IF(ISNUMBER(IF(D_I="SI",Datos!J17,Datos!J17+Datos!AD17)),IF(D_I="SI",Datos!J17,Datos!J17+Datos!AD17)," - ")</f>
        <v>366</v>
      </c>
      <c r="F17" s="407">
        <f>IF(ISNUMBER(E17/B17),E17/B17," - ")</f>
        <v>366</v>
      </c>
      <c r="G17" s="406">
        <f>IF(ISNUMBER(IF(D_I="SI",Datos!K17,Datos!K17+Datos!AE17)),IF(D_I="SI",Datos!K17,Datos!K17+Datos!AE17)," - ")</f>
        <v>345</v>
      </c>
      <c r="H17" s="407">
        <f>IF(ISNUMBER(G17/B17),G17/B17," - ")</f>
        <v>345</v>
      </c>
      <c r="I17" s="406">
        <f>IF(ISNUMBER(IF(D_I="SI",Datos!L17,Datos!L17+Datos!AF17)),IF(D_I="SI",Datos!L17,Datos!L17+Datos!AF17)," - ")</f>
        <v>45</v>
      </c>
      <c r="J17" s="407">
        <f>IF(ISNUMBER(I17/B17),I17/B17," - ")</f>
        <v>45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1299</v>
      </c>
      <c r="D18" s="853" t="str">
        <f>IF(ISNUMBER(C18/Datos!BI18),C18/Datos!BI18," - ")</f>
        <v xml:space="preserve"> - </v>
      </c>
      <c r="E18" s="852">
        <f>SUBTOTAL(9,E14:E17)</f>
        <v>4850</v>
      </c>
      <c r="F18" s="853">
        <f>IF(ISNUMBER(E18/B18),E18/B18," - ")</f>
        <v>1212.5</v>
      </c>
      <c r="G18" s="852">
        <f>SUBTOTAL(9,G14:G17)</f>
        <v>4599</v>
      </c>
      <c r="H18" s="853">
        <f>IF(ISNUMBER(G18/B18),G18/B18," - ")</f>
        <v>1149.75</v>
      </c>
      <c r="I18" s="852">
        <f>SUBTOTAL(9,I14:I17)</f>
        <v>1596</v>
      </c>
      <c r="J18" s="853">
        <f>IF(ISNUMBER(I18/B18),I18/B18," - ")</f>
        <v>399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3786</v>
      </c>
      <c r="D19" s="798" t="str">
        <f>IF(ISNUMBER(C19/Datos!BI19),C19/Datos!BI19," - ")</f>
        <v xml:space="preserve"> - </v>
      </c>
      <c r="E19" s="797">
        <f>SUBTOTAL(9,E9:E18)</f>
        <v>7840</v>
      </c>
      <c r="F19" s="798">
        <f>IF(ISNUMBER(E19/B19),E19/B19," - ")</f>
        <v>1960</v>
      </c>
      <c r="G19" s="797">
        <f>SUBTOTAL(9,G9:G18)</f>
        <v>7040</v>
      </c>
      <c r="H19" s="798">
        <f>IF(ISNUMBER(G19/B19),G19/B19," - ")</f>
        <v>1760</v>
      </c>
      <c r="I19" s="797">
        <f>SUBTOTAL(9,I9:I18)</f>
        <v>4295</v>
      </c>
      <c r="J19" s="798">
        <f>IF(ISNUMBER(I19/B19),I19/B19," - ")</f>
        <v>1073.75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fwlGdmdWha8Ye0jF+dDS/TKQM+3DamXU7wh9GEkeOkzs6mqZmYDWwt0Gi+/s3jL1tCya6+Cruu+zgSGaC6k3DA==" saltValue="Yi2RGtQ4Uqc4RH0TWG2a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ARCOS DE LA FRONTERA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33</v>
      </c>
      <c r="G10" s="687">
        <f>IF(ISNUMBER(Datos!I10),Datos!I10," - ")</f>
        <v>33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43</v>
      </c>
      <c r="AC10" s="686" t="str">
        <f>IF(ISNUMBER(IF(D_I="SI",DatosP!K17,DatosP!K17+DatosP!AE17)),IF(D_I="SI",DatosP!K17,DatosP!K17+DatosP!AE17)," - ")</f>
        <v xml:space="preserve"> - </v>
      </c>
      <c r="AD10" s="688"/>
      <c r="AE10" s="688"/>
      <c r="AF10" s="691">
        <f>IF(ISNUMBER(Datos!L10),Datos!L10,"-")</f>
        <v>33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15</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8.4418604651162799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604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431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2769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572</v>
      </c>
      <c r="AM12" s="693">
        <f>IF(ISNUMBER(Datos!N12+DatosP!N16),Datos!N12+DatosP!N16," - ")</f>
        <v>875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12.229357798165138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6.6640986132511557E-2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33</v>
      </c>
      <c r="G13" s="941">
        <f t="shared" si="0"/>
        <v>33</v>
      </c>
      <c r="H13" s="941">
        <f t="shared" si="0"/>
        <v>0</v>
      </c>
      <c r="I13" s="943">
        <f t="shared" si="0"/>
        <v>0</v>
      </c>
      <c r="J13" s="942">
        <f t="shared" si="0"/>
        <v>0</v>
      </c>
      <c r="K13" s="942">
        <f t="shared" si="0"/>
        <v>0</v>
      </c>
      <c r="L13" s="944">
        <f t="shared" si="0"/>
        <v>0</v>
      </c>
      <c r="M13" s="944">
        <f t="shared" si="0"/>
        <v>0</v>
      </c>
      <c r="N13" s="942">
        <f t="shared" si="0"/>
        <v>604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43</v>
      </c>
      <c r="AC13" s="942">
        <f t="shared" si="1"/>
        <v>0</v>
      </c>
      <c r="AD13" s="942">
        <f t="shared" si="1"/>
        <v>431</v>
      </c>
      <c r="AE13" s="942">
        <f t="shared" si="1"/>
        <v>0</v>
      </c>
      <c r="AF13" s="942">
        <f t="shared" si="1"/>
        <v>33</v>
      </c>
      <c r="AG13" s="942">
        <f t="shared" si="1"/>
        <v>0</v>
      </c>
      <c r="AH13" s="942">
        <f t="shared" si="1"/>
        <v>2769</v>
      </c>
      <c r="AI13" s="942">
        <f t="shared" si="1"/>
        <v>0</v>
      </c>
      <c r="AJ13" s="942">
        <f t="shared" si="1"/>
        <v>0</v>
      </c>
      <c r="AK13" s="942">
        <f t="shared" si="1"/>
        <v>0</v>
      </c>
      <c r="AL13" s="942">
        <f t="shared" si="1"/>
        <v>587</v>
      </c>
      <c r="AM13" s="942">
        <f t="shared" si="1"/>
        <v>875</v>
      </c>
      <c r="AN13" s="942">
        <f t="shared" si="1"/>
        <v>0</v>
      </c>
      <c r="AO13" s="942">
        <f t="shared" si="1"/>
        <v>0</v>
      </c>
      <c r="AP13" s="947">
        <f>IF(ISNUMBER(((Datos!L13/Datos!K13)*11)/factor_trimestre),((Datos!L13/Datos!K13)*11)/factor_trimestre," - ")</f>
        <v>12.815391459074732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-1.303030303030303</v>
      </c>
      <c r="AU13" s="942" t="str">
        <f>IF(ISNUMBER((DatosP!#REF!-DatosP!#REF!+DatosP!#REF!)/(DatosP!#REF!+DatosP!#REF!-DatosP!#REF!-DatosP!#REF!)),(DatosP!#REF!-DatosP!#REF!+DatosP!#REF!)/(DatosP!#REF!+DatosP!#REF!-DatosP!#REF!-DatosP!#REF!)," - ")</f>
        <v xml:space="preserve"> - </v>
      </c>
      <c r="AV13" s="948">
        <f>SUBTOTAL(9,AV9:AV12)</f>
        <v>6.6640986132511557E-2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3.8173515981735155</v>
      </c>
      <c r="AQ18" s="947">
        <f>IF(ISNUMBER(((Datos!M18/Datos!L18)*11)/factor_trimestre),((Datos!M18/Datos!L18)*11)/factor_trimestre," - ")</f>
        <v>3.6115288220551376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-0.25531914893617019</v>
      </c>
      <c r="AW18" s="949">
        <f>IF(ISNUMBER((Datos!Q18-Datos!R18)/(Datos!S18-Datos!Q18+Datos!R18)),(Datos!Q18-Datos!R18)/(Datos!S18-Datos!Q18+Datos!R18)," - ")</f>
        <v>2.4027459954233409E-2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33</v>
      </c>
      <c r="G19" s="954">
        <f t="shared" si="4"/>
        <v>33</v>
      </c>
      <c r="H19" s="954">
        <f t="shared" si="4"/>
        <v>0</v>
      </c>
      <c r="I19" s="955">
        <f t="shared" si="4"/>
        <v>0</v>
      </c>
      <c r="J19" s="956">
        <f t="shared" si="4"/>
        <v>0</v>
      </c>
      <c r="K19" s="956">
        <f t="shared" si="4"/>
        <v>0</v>
      </c>
      <c r="L19" s="956">
        <f t="shared" si="4"/>
        <v>0</v>
      </c>
      <c r="M19" s="956">
        <f t="shared" si="4"/>
        <v>0</v>
      </c>
      <c r="N19" s="955">
        <f t="shared" si="4"/>
        <v>604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43</v>
      </c>
      <c r="AC19" s="960">
        <f t="shared" si="5"/>
        <v>0</v>
      </c>
      <c r="AD19" s="960">
        <f t="shared" si="5"/>
        <v>431</v>
      </c>
      <c r="AE19" s="960">
        <f t="shared" si="5"/>
        <v>0</v>
      </c>
      <c r="AF19" s="961">
        <f t="shared" si="5"/>
        <v>33</v>
      </c>
      <c r="AG19" s="961">
        <f t="shared" si="5"/>
        <v>0</v>
      </c>
      <c r="AH19" s="961">
        <f t="shared" si="5"/>
        <v>2769</v>
      </c>
      <c r="AI19" s="961">
        <f t="shared" si="5"/>
        <v>0</v>
      </c>
      <c r="AJ19" s="962">
        <f t="shared" si="5"/>
        <v>0</v>
      </c>
      <c r="AK19" s="962">
        <f t="shared" si="5"/>
        <v>0</v>
      </c>
      <c r="AL19" s="954">
        <f t="shared" si="5"/>
        <v>587</v>
      </c>
      <c r="AM19" s="954">
        <f t="shared" si="5"/>
        <v>875</v>
      </c>
      <c r="AN19" s="954">
        <f t="shared" si="5"/>
        <v>0</v>
      </c>
      <c r="AO19" s="954">
        <f t="shared" si="5"/>
        <v>0</v>
      </c>
      <c r="AP19" s="954">
        <f>IF(ISNUMBER(((Datos!L19/Datos!K19)*11)/factor_trimestre),((Datos!L19/Datos!K19)*11)/factor_trimestre," - ")</f>
        <v>6.7715787936322478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-1.303030303030303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5.0018254837531945E-2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19.05255888325765</v>
      </c>
      <c r="G21" s="740">
        <f>IF(ISNUMBER(STDEV(G8:G18)),STDEV(G8:G18),"-")</f>
        <v>19.05255888325765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24.826061575153908</v>
      </c>
      <c r="AC21" s="741">
        <f>IF(ISNUMBER(STDEV(AC8:AC18)),STDEV(AC8:AC18),"-")</f>
        <v>0</v>
      </c>
      <c r="AD21" s="744"/>
      <c r="AE21" s="744"/>
      <c r="AF21" s="744"/>
      <c r="AG21" s="744"/>
      <c r="AH21" s="744"/>
      <c r="AI21" s="744"/>
      <c r="AJ21" s="745">
        <f>IF(ISNUMBER(STDEV(AJ8:AJ18)),STDEV(AJ8:AJ18),"-")</f>
        <v>0</v>
      </c>
      <c r="AK21" s="747"/>
      <c r="AL21" s="739">
        <f>IF(ISNUMBER(STDEV(AL8:AL18)),STDEV(AL8:AL18),"-")</f>
        <v>330.35788674304922</v>
      </c>
      <c r="AM21" s="739"/>
      <c r="AN21" s="739">
        <f>IF(ISNUMBER(STDEV(AN8:AN18)),STDEV(AN8:AN18),"-")</f>
        <v>0</v>
      </c>
      <c r="AO21" s="745">
        <f>IF(ISNUMBER(STDEV(AO8:AO18)),STDEV(AO8:AO18),"-")</f>
        <v>0</v>
      </c>
      <c r="AP21" s="782">
        <f>IF(ISNUMBER(STDEV(AP8:AP18)),STDEV(AP8:AP18),"-")</f>
        <v>4.1525995549192185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Su6C9YBZTDveNfz/i7gyuxwEO4iY1A1pe327Oh3/isIcFWwjyaNPZ5dVuTNOUW1LsLYopBWPnHmDINHVPHWB7w==" saltValue="bn3gDqacvHmvhXIqh161x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CADIZ</v>
      </c>
      <c r="C3" s="418"/>
      <c r="F3" s="378"/>
      <c r="G3" s="378"/>
      <c r="H3" s="378"/>
    </row>
    <row r="4" spans="1:15" ht="13.5" thickBot="1">
      <c r="A4" s="378"/>
      <c r="B4" s="394" t="str">
        <f>Criterios!A11 &amp;"  "&amp;Criterios!B11</f>
        <v>Resumenes por Partidos Judiciales  ARCOS DE LA FRONTERA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CY2STT+v7pFIpu7Op8gCvN663hzP8AI/eT4d476+ADgpm/xGY3Rp+0xu5u5wU2ZpNvRz5EVAPZbgK3SnXkKKwQ==" saltValue="zbImzsNfKiI1xXiIDosik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ARCOS DE LA FRONTERA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15</v>
      </c>
      <c r="E10" s="407">
        <f>IF(ISNUMBER(D10/B10),D10/B10," - ")</f>
        <v>15</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572</v>
      </c>
      <c r="E12" s="407">
        <f t="shared" si="0"/>
        <v>143</v>
      </c>
      <c r="F12" s="406">
        <f>IF(ISNUMBER(Datos!N12),Datos!N12," - ")</f>
        <v>875</v>
      </c>
      <c r="G12" s="407">
        <f t="shared" si="1"/>
        <v>218.75</v>
      </c>
      <c r="H12" s="406">
        <f>IF(ISNUMBER(Datos!O12),Datos!O12," - ")</f>
        <v>934</v>
      </c>
      <c r="I12" s="407">
        <f t="shared" si="2"/>
        <v>233.5</v>
      </c>
    </row>
    <row r="13" spans="1:9" ht="14.25" thickTop="1" thickBot="1">
      <c r="A13" s="851" t="str">
        <f>Datos!A13</f>
        <v>TOTAL</v>
      </c>
      <c r="B13" s="852">
        <f>Datos!AO13</f>
        <v>5</v>
      </c>
      <c r="C13" s="854">
        <f>Datos!AR13</f>
        <v>4</v>
      </c>
      <c r="D13" s="852">
        <f>SUBTOTAL(9,D9:D12)</f>
        <v>587</v>
      </c>
      <c r="E13" s="853">
        <f t="shared" si="0"/>
        <v>117.4</v>
      </c>
      <c r="F13" s="852">
        <f>SUBTOTAL(9,F9:F12)</f>
        <v>875</v>
      </c>
      <c r="G13" s="853">
        <f t="shared" si="1"/>
        <v>175</v>
      </c>
      <c r="H13" s="852">
        <f>SUBTOTAL(9,H9:H12)</f>
        <v>934</v>
      </c>
      <c r="I13" s="853">
        <f>IF(ISNUMBER(H13/B13),H13/B13," - ")</f>
        <v>186.8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478</v>
      </c>
      <c r="E16" s="407">
        <f t="shared" si="3"/>
        <v>119.5</v>
      </c>
      <c r="F16" s="406">
        <f>IF(ISNUMBER(Datos!N16),Datos!N16," - ")</f>
        <v>2768</v>
      </c>
      <c r="G16" s="407">
        <f t="shared" si="4"/>
        <v>692</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46</v>
      </c>
      <c r="E17" s="407">
        <f>IF(ISNUMBER(D17/B17),D17/B17," - ")</f>
        <v>46</v>
      </c>
      <c r="F17" s="406">
        <f>IF(ISNUMBER(Datos!N17),Datos!N17," - ")</f>
        <v>208</v>
      </c>
      <c r="G17" s="407">
        <f>IF(ISNUMBER(F17/B17),F17/B17," - ")</f>
        <v>208</v>
      </c>
      <c r="H17" s="406">
        <f>IF(ISNUMBER(Datos!O17),Datos!O17," - ")</f>
        <v>0</v>
      </c>
      <c r="I17" s="407">
        <f t="shared" si="5"/>
        <v>0</v>
      </c>
    </row>
    <row r="18" spans="1:9" ht="14.25" thickTop="1" thickBot="1">
      <c r="A18" s="851" t="str">
        <f>Datos!A18</f>
        <v>TOTAL</v>
      </c>
      <c r="B18" s="852">
        <f>Datos!AO18</f>
        <v>5</v>
      </c>
      <c r="C18" s="854">
        <f>Datos!AR18</f>
        <v>4</v>
      </c>
      <c r="D18" s="852">
        <f>SUBTOTAL(9,D15:D17)</f>
        <v>524</v>
      </c>
      <c r="E18" s="853">
        <f t="shared" si="3"/>
        <v>104.8</v>
      </c>
      <c r="F18" s="852">
        <f>SUBTOTAL(9,F15:F17)</f>
        <v>2976</v>
      </c>
      <c r="G18" s="853">
        <f t="shared" si="4"/>
        <v>595.20000000000005</v>
      </c>
      <c r="H18" s="852">
        <f>SUBTOTAL(9,H15:H17)</f>
        <v>0</v>
      </c>
      <c r="I18" s="853">
        <f>IF(ISNUMBER(H18/B18),H18/B18," - ")</f>
        <v>0</v>
      </c>
    </row>
    <row r="19" spans="1:9" ht="14.25" thickTop="1" thickBot="1">
      <c r="A19" s="796" t="str">
        <f>Datos!A19</f>
        <v>TOTAL JURISDICCIONES</v>
      </c>
      <c r="B19" s="797">
        <f>Datos!AP19</f>
        <v>4</v>
      </c>
      <c r="C19" s="797">
        <f>Datos!AR19</f>
        <v>4</v>
      </c>
      <c r="D19" s="797">
        <f>SUBTOTAL(9,D8:D18)</f>
        <v>1111</v>
      </c>
      <c r="E19" s="798">
        <f>IF(ISNUMBER(D19/B19),D19/B19," - ")</f>
        <v>277.75</v>
      </c>
      <c r="F19" s="797">
        <f>SUBTOTAL(9,F8:F18)</f>
        <v>3851</v>
      </c>
      <c r="G19" s="798">
        <f>IF(ISNUMBER(F19/B19),F19/B19," - ")</f>
        <v>962.75</v>
      </c>
      <c r="H19" s="797">
        <f>SUBTOTAL(9,H8:H18)</f>
        <v>934</v>
      </c>
      <c r="I19" s="798">
        <f>IF(ISNUMBER(H19/B19),H19/B19," - ")</f>
        <v>233.5</v>
      </c>
    </row>
    <row r="22" spans="1:9">
      <c r="A22" s="394" t="str">
        <f>Criterios!A4</f>
        <v>Fecha Informe: 03 may. 2024</v>
      </c>
    </row>
    <row r="27" spans="1:9">
      <c r="A27" s="417"/>
    </row>
  </sheetData>
  <sheetProtection algorithmName="SHA-512" hashValue="IWOfHDMiQ5zvNFUkZggm3NNnv7CvvUzJeCL4s1QUIBIQhEVdtmfqY7QPrafFcYcjeItMnYQIGT4TqBcTJY/xtg==" saltValue="6CB/cvKjuBfxsK4SzS87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ARCOS DE LA FRONTERA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604</v>
      </c>
      <c r="C12" s="437">
        <f>IF(ISNUMBER(Datos!Q12),Datos!Q12," - ")</f>
        <v>431</v>
      </c>
      <c r="D12" s="411">
        <f>IF(ISNUMBER(Datos!R12),Datos!R12," - ")</f>
        <v>2769</v>
      </c>
    </row>
    <row r="13" spans="1:4" ht="14.25" thickTop="1" thickBot="1">
      <c r="A13" s="851" t="str">
        <f>Datos!A13</f>
        <v>TOTAL</v>
      </c>
      <c r="B13" s="852">
        <f>SUBTOTAL(9,B9:B12)</f>
        <v>604</v>
      </c>
      <c r="C13" s="856">
        <f>SUBTOTAL(9,C9:C12)</f>
        <v>431</v>
      </c>
      <c r="D13" s="854">
        <f>SUBTOTAL(9,D9:D12)</f>
        <v>2771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90</v>
      </c>
      <c r="C16" s="437">
        <f>IF(ISNUMBER(Datos!Q16),Datos!Q16," - ")</f>
        <v>124</v>
      </c>
      <c r="D16" s="411">
        <f>IF(ISNUMBER(Datos!R16),Datos!R16," - ")</f>
        <v>105</v>
      </c>
    </row>
    <row r="17" spans="1:4" ht="13.5" thickBot="1">
      <c r="A17" s="405" t="str">
        <f>Datos!A17</f>
        <v>Jdos. Violencia contra la mujer</v>
      </c>
      <c r="B17" s="436">
        <f>IF(ISNUMBER(Datos!P17),Datos!P17," - ")</f>
        <v>0</v>
      </c>
      <c r="C17" s="437">
        <f>IF(ISNUMBER(Datos!Q17),Datos!Q17," - ")</f>
        <v>2</v>
      </c>
      <c r="D17" s="411">
        <f>IF(ISNUMBER(Datos!R17),Datos!R17," - ")</f>
        <v>0</v>
      </c>
    </row>
    <row r="18" spans="1:4" ht="14.25" thickTop="1" thickBot="1">
      <c r="A18" s="851" t="str">
        <f>Datos!A18</f>
        <v>TOTAL</v>
      </c>
      <c r="B18" s="852">
        <f>SUBTOTAL(9,B15:B17)</f>
        <v>90</v>
      </c>
      <c r="C18" s="856">
        <f>SUBTOTAL(9,C15:C17)</f>
        <v>126</v>
      </c>
      <c r="D18" s="854">
        <f>SUBTOTAL(9,D15:D17)</f>
        <v>105</v>
      </c>
    </row>
    <row r="19" spans="1:4" ht="16.5" customHeight="1" thickTop="1" thickBot="1">
      <c r="A19" s="796" t="str">
        <f>Datos!A19</f>
        <v>TOTAL JURISDICCIONES</v>
      </c>
      <c r="B19" s="801">
        <f>SUBTOTAL(9,B8:B18)</f>
        <v>694</v>
      </c>
      <c r="C19" s="802">
        <f>SUBTOTAL(9,C8:C18)</f>
        <v>557</v>
      </c>
      <c r="D19" s="803">
        <f>SUBTOTAL(9,D8:D18)</f>
        <v>2876</v>
      </c>
    </row>
    <row r="20" spans="1:4" ht="7.5" customHeight="1"/>
    <row r="21" spans="1:4" ht="6" customHeight="1"/>
    <row r="22" spans="1:4">
      <c r="A22" s="394" t="str">
        <f>Criterios!A4</f>
        <v>Fecha Informe: 03 may. 2024</v>
      </c>
    </row>
    <row r="27" spans="1:4">
      <c r="A27" s="417"/>
    </row>
  </sheetData>
  <sheetProtection algorithmName="SHA-512" hashValue="ocV5vCwCphOpDLJro6KCsVSODZzwbbwl8Z6RE645WUGj7JOEmmSt5HTGOX5zJVU5NnqvxjbBvQGEV4F+yrtnVg==" saltValue="kMs/fR4YgBlB/oQrDWPK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ARCOS DE LA FRONTERA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0.13793103448275862</v>
      </c>
      <c r="C10" s="459">
        <f>IF(ISNUMBER((Datos!J10-Datos!T10)/Datos!T10),(Datos!J10-Datos!T10)/Datos!T10," - ")</f>
        <v>2.3809523809523808E-2</v>
      </c>
      <c r="D10" s="459">
        <f>IF(ISNUMBER((Datos!K10-Datos!U10)/Datos!U10),(Datos!K10-Datos!U10)/Datos!U10," - ")</f>
        <v>0.95454545454545459</v>
      </c>
      <c r="E10" s="459">
        <f>IF(ISNUMBER((Datos!L10-Datos!V10)/Datos!V10),(Datos!L10-Datos!V10)/Datos!V10," - ")</f>
        <v>0</v>
      </c>
      <c r="F10" s="459">
        <f>IF(ISNUMBER((Datos!M10-Datos!W10)/Datos!W10),(Datos!M10-Datos!W10)/Datos!W10," - ")</f>
        <v>7.1428571428571425E-2</v>
      </c>
      <c r="G10" s="460">
        <f>IF(ISNUMBER((Datos!N10-Datos!X10)/Datos!X10),(Datos!N10-Datos!X10)/Datos!X10," - ")</f>
        <v>-1</v>
      </c>
      <c r="H10" s="458">
        <f>IF(ISNUMBER(((NºAsuntos!G10/NºAsuntos!E10)-Datos!BD10)/Datos!BD10),((NºAsuntos!G10/NºAsuntos!E10)-Datos!BD10)/Datos!BD10," - ")</f>
        <v>0.90909090909090895</v>
      </c>
      <c r="I10" s="459">
        <f>IF(ISNUMBER(((NºAsuntos!I10/NºAsuntos!G10)-Datos!BE10)/Datos!BE10),((NºAsuntos!I10/NºAsuntos!G10)-Datos!BE10)/Datos!BE10," - ")</f>
        <v>-0.48837209302325579</v>
      </c>
      <c r="J10" s="464">
        <f>IF(ISNUMBER((('Resol  Asuntos'!D10/NºAsuntos!G10)-Datos!BF10)/Datos!BF10),(('Resol  Asuntos'!D10/NºAsuntos!G10)-Datos!BF10)/Datos!BF10," - ")</f>
        <v>-0.45182724252491691</v>
      </c>
      <c r="K10" s="465">
        <f>IF(ISNUMBER((((NºAsuntos!C10+NºAsuntos!E10)/NºAsuntos!G10)-Datos!BG10)/Datos!BG10),(((NºAsuntos!C10+NºAsuntos!E10)/NºAsuntos!G10)-Datos!BG10)/Datos!BG10," - ")</f>
        <v>-0.45234195872911886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7.8681318681318682E-2</v>
      </c>
      <c r="C12" s="459">
        <f>IF(ISNUMBER(
   IF(J_V="SI",(Datos!J12-Datos!T12)/Datos!T12,(Datos!J12+Datos!Z12-(Datos!T12+Datos!AH12))/(Datos!T12+Datos!AH12))
     ),IF(J_V="SI",(Datos!J12-Datos!T12)/Datos!T12,(Datos!J12+Datos!Z12-(Datos!T12+Datos!AH12))/(Datos!T12+Datos!AH12))," - ")</f>
        <v>-9.0786819098856754E-3</v>
      </c>
      <c r="D12" s="459">
        <f>IF(ISNUMBER(
   IF(J_V="SI",(Datos!K12-Datos!U12)/Datos!U12,(Datos!K12+Datos!AA12-(Datos!U12+Datos!AI12))/(Datos!U12+Datos!AI12))
     ),IF(J_V="SI",(Datos!K12-Datos!U12)/Datos!U12,(Datos!K12+Datos!AA12-(Datos!U12+Datos!AI12))/(Datos!U12+Datos!AI12))," - ")</f>
        <v>-0.11870635795663359</v>
      </c>
      <c r="E12" s="459">
        <f>IF(ISNUMBER(
   IF(J_V="SI",(Datos!L12-Datos!V12)/Datos!V12,(Datos!L12+Datos!AB12-(Datos!V12+Datos!AJ12))/(Datos!V12+Datos!AJ12))
     ),IF(J_V="SI",(Datos!L12-Datos!V12)/Datos!V12,(Datos!L12+Datos!AB12-(Datos!V12+Datos!AJ12))/(Datos!V12+Datos!AJ12))," - ")</f>
        <v>8.6389568052159735E-2</v>
      </c>
      <c r="F12" s="459">
        <f>IF(ISNUMBER((Datos!M12-Datos!W12)/Datos!W12),(Datos!M12-Datos!W12)/Datos!W12," - ")</f>
        <v>-9.7791798107255523E-2</v>
      </c>
      <c r="G12" s="460">
        <f>IF(ISNUMBER((Datos!N12-Datos!X12)/Datos!X12),(Datos!N12-Datos!X12)/Datos!X12," - ")</f>
        <v>-0.12236710130391174</v>
      </c>
      <c r="H12" s="458">
        <f>IF(ISNUMBER(((NºAsuntos!G12/NºAsuntos!E12)-Datos!BD12)/Datos!BD12),((NºAsuntos!G12/NºAsuntos!E12)-Datos!BD12)/Datos!BD12," - ")</f>
        <v>-0.11063206941398993</v>
      </c>
      <c r="I12" s="459">
        <f>IF(ISNUMBER(((NºAsuntos!I12/NºAsuntos!G12)-Datos!BE12)/Datos!BE12),((NºAsuntos!I12/NºAsuntos!G12)-Datos!BE12)/Datos!BE12," - ")</f>
        <v>0.23272144064634137</v>
      </c>
      <c r="J12" s="464">
        <f>IF(ISNUMBER((('Resol  Asuntos'!D12/NºAsuntos!G12)-Datos!BF12)/Datos!BF12),(('Resol  Asuntos'!D12/NºAsuntos!G12)-Datos!BF12)/Datos!BF12," - ")</f>
        <v>-0.34900113183587461</v>
      </c>
      <c r="K12" s="465">
        <f>IF(ISNUMBER((((NºAsuntos!C12+NºAsuntos!E12)/NºAsuntos!G12)-Datos!BG12)/Datos!BG12),(((NºAsuntos!C12+NºAsuntos!E12)/NºAsuntos!G12)-Datos!BG12)/Datos!BG12," - ")</f>
        <v>0.16755397707907657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7.9427083333333329E-2</v>
      </c>
      <c r="C13" s="858">
        <f>IF(ISNUMBER(
   IF(J_V="SI",(Datos!J13-Datos!T13)/Datos!T13,(Datos!J13+Datos!Z13-(Datos!T13+Datos!AH13))/(Datos!T13+Datos!AH13))
     ),IF(J_V="SI",(Datos!J13-Datos!T13)/Datos!T13,(Datos!J13+Datos!Z13-(Datos!T13+Datos!AH13))/(Datos!T13+Datos!AH13))," - ")</f>
        <v>-8.6206896551724137E-3</v>
      </c>
      <c r="D13" s="858">
        <f>IF(ISNUMBER(
   IF(J_V="SI",(Datos!K13-Datos!U13)/Datos!U13,(Datos!K13+Datos!AA13-(Datos!U13+Datos!AI13))/(Datos!U13+Datos!AI13))
     ),IF(J_V="SI",(Datos!K13-Datos!U13)/Datos!U13,(Datos!K13+Datos!AA13-(Datos!U13+Datos!AI13))/(Datos!U13+Datos!AI13))," - ")</f>
        <v>-0.11009843237331389</v>
      </c>
      <c r="E13" s="858">
        <f>IF(ISNUMBER(
   IF(J_V="SI",(Datos!L13-Datos!V13)/Datos!V13,(Datos!L13+Datos!AB13-(Datos!V13+Datos!AJ13))/(Datos!V13+Datos!AJ13))
     ),IF(J_V="SI",(Datos!L13-Datos!V13)/Datos!V13,(Datos!L13+Datos!AB13-(Datos!V13+Datos!AJ13))/(Datos!V13+Datos!AJ13))," - ")</f>
        <v>8.5243264977885008E-2</v>
      </c>
      <c r="F13" s="859">
        <f>IF(ISNUMBER((Datos!M13-Datos!W13)/Datos!W13),(Datos!M13-Datos!W13)/Datos!W13," - ")</f>
        <v>-9.4135802469135804E-2</v>
      </c>
      <c r="G13" s="860">
        <f>IF(ISNUMBER((Datos!N13-Datos!X13)/Datos!X13),(Datos!N13-Datos!X13)/Datos!X13," - ")</f>
        <v>-0.12848605577689243</v>
      </c>
      <c r="H13" s="860">
        <f>IF(ISNUMBER(((NºAsuntos!G13/NºAsuntos!E13)-Datos!BD13)/Datos!BD13),((NºAsuntos!G13/NºAsuntos!E13)-Datos!BD13)/Datos!BD13," - ")</f>
        <v>-0.10236015787221227</v>
      </c>
      <c r="I13" s="860">
        <f>IF(ISNUMBER(((NºAsuntos!I13/NºAsuntos!G13)-Datos!BE13)/Datos!BE13),((NºAsuntos!I13/NºAsuntos!G13)-Datos!BE13)/Datos!BE13," - ")</f>
        <v>0.2195093305343459</v>
      </c>
      <c r="J13" s="860">
        <f>IF(ISNUMBER((('Resol  Asuntos'!D13/NºAsuntos!G13)-Datos!BF13)/Datos!BF13),(('Resol  Asuntos'!D13/NºAsuntos!G13)-Datos!BF13)/Datos!BF13," - ")</f>
        <v>-0.34755339767271198</v>
      </c>
      <c r="K13" s="860">
        <f>IF(ISNUMBER((((NºAsuntos!C13+NºAsuntos!E13)/NºAsuntos!G13)-Datos!BG13)/Datos!BG13),(((NºAsuntos!C13+NºAsuntos!E13)/NºAsuntos!G13)-Datos!BG13)/Datos!BG13," - ")</f>
        <v>0.15688219421967467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0.46759259259259262</v>
      </c>
      <c r="C16" s="459">
        <f>IF(ISNUMBER(
   IF(D_I="SI",(Datos!J16-Datos!T16)/Datos!T16,(Datos!J16+Datos!AD16-(Datos!T16+Datos!AL16))/(Datos!T16+Datos!AL16))
     ),IF(D_I="SI",(Datos!J16-Datos!T16)/Datos!T16,(Datos!J16+Datos!AD16-(Datos!T16+Datos!AL16))/(Datos!T16+Datos!AL16))," - ")</f>
        <v>5.8795749704840611E-2</v>
      </c>
      <c r="D16" s="459">
        <f>IF(ISNUMBER(
   IF(D_I="SI",(Datos!K16-Datos!U16)/Datos!U16,(Datos!K16+Datos!AE16-(Datos!U16+Datos!AM16))/(Datos!U16+Datos!AM16))
     ),IF(D_I="SI",(Datos!K16-Datos!U16)/Datos!U16,(Datos!K16+Datos!AE16-(Datos!U16+Datos!AM16))/(Datos!U16+Datos!AM16))," - ")</f>
        <v>0.19527957291373982</v>
      </c>
      <c r="E16" s="459">
        <f>IF(ISNUMBER(
   IF(D_I="SI",(Datos!L16-Datos!V16)/Datos!V16,(Datos!L16+Datos!AF16-(Datos!V16+Datos!AN16))/(Datos!V16+Datos!AN16))
     ),IF(D_I="SI",(Datos!L16-Datos!V16)/Datos!V16,(Datos!L16+Datos!AF16-(Datos!V16+Datos!AN16))/(Datos!V16+Datos!AN16))," - ")</f>
        <v>0.22318611987381703</v>
      </c>
      <c r="F16" s="459">
        <f>IF(ISNUMBER((Datos!M16-Datos!W16)/Datos!W16),(Datos!M16-Datos!W16)/Datos!W16," - ")</f>
        <v>-7.3643410852713184E-2</v>
      </c>
      <c r="G16" s="460">
        <f>IF(ISNUMBER((Datos!N16-Datos!X16)/Datos!X16),(Datos!N16-Datos!X16)/Datos!X16," - ")</f>
        <v>0.21297107800175286</v>
      </c>
      <c r="H16" s="458">
        <f>IF(ISNUMBER(((NºAsuntos!G16/NºAsuntos!E16)-Datos!BD16)/Datos!BD16),((NºAsuntos!G16/NºAsuntos!E16)-Datos!BD16)/Datos!BD16," - ")</f>
        <v>0.12890477058200001</v>
      </c>
      <c r="I16" s="459">
        <f>IF(ISNUMBER(((NºAsuntos!I16/NºAsuntos!G16)-Datos!BE16)/Datos!BE16),((NºAsuntos!I16/NºAsuntos!G16)-Datos!BE16)/Datos!BE16," - ")</f>
        <v>2.3347296810276214E-2</v>
      </c>
      <c r="J16" s="464">
        <f>IF(ISNUMBER((('Resol  Asuntos'!D16/NºAsuntos!G16)-Datos!BF16)/Datos!BF16),(('Resol  Asuntos'!D16/NºAsuntos!G16)-Datos!BF16)/Datos!BF16," - ")</f>
        <v>-0.22498751744823836</v>
      </c>
      <c r="K16" s="465">
        <f>IF(ISNUMBER((((NºAsuntos!C16+NºAsuntos!E16)/NºAsuntos!G16)-Datos!BG16)/Datos!BG16),(((NºAsuntos!C16+NºAsuntos!E16)/NºAsuntos!G16)-Datos!BG16)/Datos!BG16," - ")</f>
        <v>-5.6233912214689007E-2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f>IF(ISNUMBER(
   IF(D_I="SI",(Datos!J17-Datos!T17)/Datos!T17,(Datos!J17+Datos!AD17-(Datos!T17+Datos!AL17))/(Datos!T17+Datos!AL17))
     ),IF(D_I="SI",(Datos!J17-Datos!T17)/Datos!T17,(Datos!J17+Datos!AD17-(Datos!T17+Datos!AL17))/(Datos!T17+Datos!AL17))," - ")</f>
        <v>-0.14084507042253522</v>
      </c>
      <c r="D17" s="459">
        <f>IF(ISNUMBER(
   IF(D_I="SI",(Datos!K17-Datos!U17)/Datos!U17,(Datos!K17+Datos!AE17-(Datos!U17+Datos!AM17))/(Datos!U17+Datos!AM17))
     ),IF(D_I="SI",(Datos!K17-Datos!U17)/Datos!U17,(Datos!K17+Datos!AE17-(Datos!U17+Datos!AM17))/(Datos!U17+Datos!AM17))," - ")</f>
        <v>-0.1396508728179551</v>
      </c>
      <c r="E17" s="459">
        <f>IF(ISNUMBER(
   IF(D_I="SI",(Datos!L17-Datos!V17)/Datos!V17,(Datos!L17+Datos!AF17-(Datos!V17+Datos!AN17))/(Datos!V17+Datos!AN17))
     ),IF(D_I="SI",(Datos!L17-Datos!V17)/Datos!V17,(Datos!L17+Datos!AF17-(Datos!V17+Datos!AN17))/(Datos!V17+Datos!AN17))," - ")</f>
        <v>0.45161290322580644</v>
      </c>
      <c r="F17" s="459">
        <f>IF(ISNUMBER((Datos!M17-Datos!W17)/Datos!W17),(Datos!M17-Datos!W17)/Datos!W17," - ")</f>
        <v>-4.1666666666666664E-2</v>
      </c>
      <c r="G17" s="460">
        <f>IF(ISNUMBER((Datos!N17-Datos!X17)/Datos!X17),(Datos!N17-Datos!X17)/Datos!X17," - ")</f>
        <v>0.3</v>
      </c>
      <c r="H17" s="458">
        <f>IF(ISNUMBER(((NºAsuntos!G17/NºAsuntos!E17)-Datos!BD17)/Datos!BD17),((NºAsuntos!G17/NºAsuntos!E17)-Datos!BD17)/Datos!BD17," - ")</f>
        <v>1.3899677036915972E-3</v>
      </c>
      <c r="I17" s="459">
        <f>IF(ISNUMBER(((NºAsuntos!I17/NºAsuntos!G17)-Datos!BE17)/Datos!BE17),((NºAsuntos!I17/NºAsuntos!G17)-Datos!BE17)/Datos!BE17," - ")</f>
        <v>0.68723702664796626</v>
      </c>
      <c r="J17" s="464">
        <f>IF(ISNUMBER((('Resol  Asuntos'!D17/NºAsuntos!G17)-Datos!BF17)/Datos!BF17),(('Resol  Asuntos'!D17/NºAsuntos!G17)-Datos!BF17)/Datos!BF17," - ")</f>
        <v>0.1138888888888889</v>
      </c>
      <c r="K17" s="465">
        <f>IF(ISNUMBER((((NºAsuntos!C17+NºAsuntos!E17)/NºAsuntos!G17)-Datos!BG17)/Datos!BG17),(((NºAsuntos!C17+NºAsuntos!E17)/NºAsuntos!G17)-Datos!BG17)/Datos!BG17," - ")</f>
        <v>9.7168046173850761E-3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0.45139664804469276</v>
      </c>
      <c r="C18" s="858">
        <f>IF(ISNUMBER(
   IF(Criterios!B14="SI",(Datos!J18-Datos!T18)/Datos!T18,(Datos!J18+Datos!AD18-(Datos!T18+Datos!AL18))/(Datos!T18+Datos!AL18))
     ),IF(Criterios!B14="SI",(Datos!J18-Datos!T18)/Datos!T18,(Datos!J18+Datos!AD18-(Datos!T18+Datos!AL18))/(Datos!T18+Datos!AL18))," - ")</f>
        <v>4.0549238360866768E-2</v>
      </c>
      <c r="D18" s="858">
        <f>IF(ISNUMBER(
   IF(Criterios!B14="SI",(Datos!K18-Datos!U18)/Datos!U18,(Datos!K18+Datos!AE18-(Datos!U18+Datos!AM18))/(Datos!U18+Datos!AM18))
     ),IF(Criterios!B14="SI",(Datos!K18-Datos!U18)/Datos!U18,(Datos!K18+Datos!AE18-(Datos!U18+Datos!AM18))/(Datos!U18+Datos!AM18))," - ")</f>
        <v>0.16136363636363638</v>
      </c>
      <c r="E18" s="858">
        <f>IF(ISNUMBER(
   IF(Criterios!B14="SI",(Datos!L18-Datos!V18)/Datos!V18,(Datos!L18+Datos!AF18-(Datos!V18+Datos!AN18))/(Datos!V18+Datos!AN18))
     ),IF(Criterios!B14="SI",(Datos!L18-Datos!V18)/Datos!V18,(Datos!L18+Datos!AF18-(Datos!V18+Datos!AN18))/(Datos!V18+Datos!AN18))," - ")</f>
        <v>0.22863741339491916</v>
      </c>
      <c r="F18" s="859">
        <f>IF(ISNUMBER((Datos!M18-Datos!W18)/Datos!W18),(Datos!M18-Datos!W18)/Datos!W18," - ")</f>
        <v>-7.0921985815602842E-2</v>
      </c>
      <c r="G18" s="860">
        <f>IF(ISNUMBER((Datos!N18-Datos!X18)/Datos!X18),(Datos!N18-Datos!X18)/Datos!X18," - ")</f>
        <v>0.21867321867321868</v>
      </c>
      <c r="H18" s="860">
        <f>IF(ISNUMBER(((NºAsuntos!G18/NºAsuntos!E18)-Datos!BD18)/Datos!BD18),((NºAsuntos!G18/NºAsuntos!E18)-Datos!BD18)/Datos!BD18," - ")</f>
        <v>0.11610637300843488</v>
      </c>
      <c r="I18" s="860">
        <f>IF(ISNUMBER(((NºAsuntos!I18/NºAsuntos!G18)-Datos!BE18)/Datos!BE18),((NºAsuntos!I18/NºAsuntos!G18)-Datos!BE18)/Datos!BE18," - ")</f>
        <v>5.7926539909519459E-2</v>
      </c>
      <c r="J18" s="860">
        <f>IF(ISNUMBER((('Resol  Asuntos'!D18/NºAsuntos!G18)-Datos!BF18)/Datos!BF18),(('Resol  Asuntos'!D18/NºAsuntos!G18)-Datos!BF18)/Datos!BF18," - ")</f>
        <v>-0.20001110324631169</v>
      </c>
      <c r="K18" s="860">
        <f>IF(ISNUMBER((((NºAsuntos!C18+NºAsuntos!E18)/NºAsuntos!G18)-Datos!BG18)/Datos!BG18),(((NºAsuntos!C18+NºAsuntos!E18)/NºAsuntos!G18)-Datos!BG18)/Datos!BG18," - ")</f>
        <v>-4.704140302826651E-2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0.18349484213816819</v>
      </c>
      <c r="C19" s="805">
        <f>IF(ISNUMBER(
   IF(J_V="SI",(Datos!J19-Datos!T19)/Datos!T19,(Datos!J19+Datos!Z19-(Datos!T19+Datos!AH19))/(Datos!T19+Datos!AH19))
     ),IF(J_V="SI",(Datos!J19-Datos!T19)/Datos!T19,(Datos!J19+Datos!Z19-(Datos!T19+Datos!AH19))/(Datos!T19+Datos!AH19))," - ")</f>
        <v>2.1232252181841865E-2</v>
      </c>
      <c r="D19" s="805">
        <f>IF(ISNUMBER(
   IF(J_V="SI",(Datos!K19-Datos!U19)/Datos!U19,(Datos!K19+Datos!AA19-(Datos!U19+Datos!AI19))/(Datos!U19+Datos!AI19))
     ),IF(J_V="SI",(Datos!K19-Datos!U19)/Datos!U19,(Datos!K19+Datos!AA19-(Datos!U19+Datos!AI19))/(Datos!U19+Datos!AI19))," - ")</f>
        <v>5.0275995822765929E-2</v>
      </c>
      <c r="E19" s="805">
        <f>IF(ISNUMBER(
   IF(J_V="SI",(Datos!L19-Datos!V19)/Datos!V19,(Datos!L19+Datos!AB19-(Datos!V19+Datos!AJ19))/(Datos!V19+Datos!AJ19))
     ),IF(J_V="SI",(Datos!L19-Datos!V19)/Datos!V19,(Datos!L19+Datos!AB19-(Datos!V19+Datos!AJ19))/(Datos!V19+Datos!AJ19))," - ")</f>
        <v>0.13444268357105124</v>
      </c>
      <c r="F19" s="806">
        <f>IF(ISNUMBER((Datos!M19-Datos!W19)/Datos!W19),(Datos!M19-Datos!W19)/Datos!W19," - ")</f>
        <v>-8.3333333333333329E-2</v>
      </c>
      <c r="G19" s="807">
        <f>IF(ISNUMBER((Datos!N19-Datos!X19)/Datos!X19),(Datos!N19-Datos!X19)/Datos!X19," - ")</f>
        <v>0.1175275681950087</v>
      </c>
      <c r="H19" s="808">
        <f>IF(ISNUMBER((Tasas!B19-Datos!BD19)/Datos!BD19),(Tasas!B19-Datos!BD19)/Datos!BD19," - ")</f>
        <v>2.8439900501450815E-2</v>
      </c>
      <c r="I19" s="809">
        <f>IF(ISNUMBER((Tasas!C19-Datos!BE19)/Datos!BE19),(Tasas!C19-Datos!BE19)/Datos!BE19," - ")</f>
        <v>8.0137685792152899E-2</v>
      </c>
      <c r="J19" s="810">
        <f>IF(ISNUMBER((Tasas!D19-Datos!BF19)/Datos!BF19),(Tasas!D19-Datos!BF19)/Datos!BF19," - ")</f>
        <v>-0.32837003968253969</v>
      </c>
      <c r="K19" s="810">
        <f>IF(ISNUMBER((Tasas!E19-Datos!BG19)/Datos!BG19),(Tasas!E19-Datos!BG19)/Datos!BG19," - ")</f>
        <v>1.778882924036241E-2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eALAnJSlDH3AOo0q3YYMmpL5Nbnk5RWNUN6dEzXs+v/btkdNsJdacoWjFD1u02ARXslwAnI65Sr+NMd8j01Dxg==" saltValue="yYJCd/Kgv1NfWzuflkNA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ARCOS DE LA FRONTERA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0.76744186046511631</v>
      </c>
      <c r="D10" s="447">
        <f>IF(ISNUMBER('Resol  Asuntos'!D10/NºAsuntos!G10),'Resol  Asuntos'!D10/NºAsuntos!G10," - ")</f>
        <v>0.34883720930232559</v>
      </c>
      <c r="E10" s="448">
        <f>IF(ISNUMBER((NºAsuntos!C10+NºAsuntos!E10)/NºAsuntos!G10),(NºAsuntos!C10+NºAsuntos!E10)/NºAsuntos!G10," - ")</f>
        <v>1.7674418604651163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0.81370885646420088</v>
      </c>
      <c r="C12" s="446">
        <f>IF(ISNUMBER(NºAsuntos!I12/NºAsuntos!G12),NºAsuntos!I12/NºAsuntos!G12," - ")</f>
        <v>1.1117597998331943</v>
      </c>
      <c r="D12" s="447">
        <f>IF(ISNUMBER('Resol  Asuntos'!D12/NºAsuntos!G12),'Resol  Asuntos'!D12/NºAsuntos!G12," - ")</f>
        <v>0.23853211009174313</v>
      </c>
      <c r="E12" s="448">
        <f>IF(ISNUMBER((NºAsuntos!C12+NºAsuntos!E12)/NºAsuntos!G12),(NºAsuntos!C12+NºAsuntos!E12)/NºAsuntos!G12," - ")</f>
        <v>2.2522935779816513</v>
      </c>
      <c r="G12" s="466"/>
    </row>
    <row r="13" spans="1:7" ht="14.25" thickTop="1" thickBot="1">
      <c r="A13" s="851" t="str">
        <f>Datos!A13</f>
        <v>TOTAL</v>
      </c>
      <c r="B13" s="861">
        <f>IF(ISNUMBER(NºAsuntos!G13/NºAsuntos!E13),NºAsuntos!G13/NºAsuntos!E13," - ")</f>
        <v>0.8163879598662207</v>
      </c>
      <c r="C13" s="862">
        <f>IF(ISNUMBER(NºAsuntos!I13/NºAsuntos!G13),NºAsuntos!I13/NºAsuntos!G13," - ")</f>
        <v>1.1056943875460876</v>
      </c>
      <c r="D13" s="863">
        <f>IF(ISNUMBER('Resol  Asuntos'!D13/NºAsuntos!G13),'Resol  Asuntos'!D13/NºAsuntos!G13," - ")</f>
        <v>0.24047521507578862</v>
      </c>
      <c r="E13" s="864">
        <f>IF(ISNUMBER((NºAsuntos!C13+NºAsuntos!E13)/NºAsuntos!G13),(NºAsuntos!C13+NºAsuntos!E13)/NºAsuntos!G13," - ")</f>
        <v>2.2437525604260551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0.94870651204281886</v>
      </c>
      <c r="C16" s="446">
        <f>IF(ISNUMBER(NºAsuntos!I16/NºAsuntos!G16),NºAsuntos!I16/NºAsuntos!G16," - ")</f>
        <v>0.36459802538787023</v>
      </c>
      <c r="D16" s="447">
        <f>IF(ISNUMBER('Resol  Asuntos'!D16/NºAsuntos!G16),'Resol  Asuntos'!D16/NºAsuntos!G16," - ")</f>
        <v>0.11236483309826047</v>
      </c>
      <c r="E16" s="448">
        <f>IF(ISNUMBER((NºAsuntos!C16+NºAsuntos!E16)/NºAsuntos!G16),(NºAsuntos!C16+NºAsuntos!E16)/NºAsuntos!G16," - ")</f>
        <v>1.3521391631405735</v>
      </c>
      <c r="G16" s="466"/>
    </row>
    <row r="17" spans="1:7" ht="13.5" thickBot="1">
      <c r="A17" s="405" t="str">
        <f>Datos!A17</f>
        <v>Jdos. Violencia contra la mujer</v>
      </c>
      <c r="B17" s="445">
        <f>IF(ISNUMBER(NºAsuntos!G17/NºAsuntos!E17),NºAsuntos!G17/NºAsuntos!E17," - ")</f>
        <v>0.94262295081967218</v>
      </c>
      <c r="C17" s="446">
        <f>IF(ISNUMBER(NºAsuntos!I17/NºAsuntos!G17),NºAsuntos!I17/NºAsuntos!G17," - ")</f>
        <v>0.13043478260869565</v>
      </c>
      <c r="D17" s="447">
        <f>IF(ISNUMBER('Resol  Asuntos'!D17/NºAsuntos!G17),'Resol  Asuntos'!D17/NºAsuntos!G17," - ")</f>
        <v>0.13333333333333333</v>
      </c>
      <c r="E17" s="448">
        <f>IF(ISNUMBER((NºAsuntos!C17+NºAsuntos!E17)/NºAsuntos!G17),(NºAsuntos!C17+NºAsuntos!E17)/NºAsuntos!G17," - ")</f>
        <v>1.1507246376811595</v>
      </c>
      <c r="G17" s="466"/>
    </row>
    <row r="18" spans="1:7" ht="14.25" thickTop="1" thickBot="1">
      <c r="A18" s="851" t="str">
        <f>Datos!A18</f>
        <v>TOTAL</v>
      </c>
      <c r="B18" s="861">
        <f>IF(ISNUMBER(NºAsuntos!G18/NºAsuntos!E18),NºAsuntos!G18/NºAsuntos!E18," - ")</f>
        <v>0.9482474226804124</v>
      </c>
      <c r="C18" s="862">
        <f>IF(ISNUMBER(NºAsuntos!I18/NºAsuntos!G18),NºAsuntos!I18/NºAsuntos!G18," - ")</f>
        <v>0.34703196347031962</v>
      </c>
      <c r="D18" s="865">
        <f>IF(ISNUMBER('Resol  Asuntos'!D18/NºAsuntos!G18),'Resol  Asuntos'!D18/NºAsuntos!G18," - ")</f>
        <v>0.11393781256794955</v>
      </c>
      <c r="E18" s="864">
        <f>IF(ISNUMBER((NºAsuntos!C18+NºAsuntos!E18)/NºAsuntos!G18),(NºAsuntos!C18+NºAsuntos!E18)/NºAsuntos!G18," - ")</f>
        <v>1.3370297890845837</v>
      </c>
      <c r="G18" s="466"/>
    </row>
    <row r="19" spans="1:7" ht="15.75" customHeight="1" thickTop="1" thickBot="1">
      <c r="A19" s="796" t="str">
        <f>Datos!A19</f>
        <v>TOTAL JURISDICCIONES</v>
      </c>
      <c r="B19" s="811">
        <f>IF(ISNUMBER(NºAsuntos!G19/NºAsuntos!E19),NºAsuntos!G19/NºAsuntos!E19," - ")</f>
        <v>0.89795918367346939</v>
      </c>
      <c r="C19" s="812">
        <f>IF(ISNUMBER(NºAsuntos!I19/NºAsuntos!G19),NºAsuntos!I19/NºAsuntos!G19," - ")</f>
        <v>0.61008522727272729</v>
      </c>
      <c r="D19" s="813">
        <f>IF(ISNUMBER('Resol  Asuntos'!D19/NºAsuntos!G19),'Resol  Asuntos'!D19/NºAsuntos!G19," - ")</f>
        <v>0.15781249999999999</v>
      </c>
      <c r="E19" s="814">
        <f>IF(ISNUMBER((NºAsuntos!C19+NºAsuntos!E19)/NºAsuntos!G19),(NºAsuntos!C19+NºAsuntos!E19)/NºAsuntos!G19," - ")</f>
        <v>1.6514204545454545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TTUmljCbcxUYTOD1pqALZTm6r6xKI4uLI3qKfScxOsx7+aCrqhoMS7w5AH73Z/sLEJtpGAnfoLjdbako4b+gQ==" saltValue="aVzrF4CILgY2FnAEX1am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ARCOS DE LA FRONTERA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33</v>
      </c>
      <c r="G10" s="336">
        <f>IF(ISNUMBER(Datos!I10),Datos!I10," - ")</f>
        <v>33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43</v>
      </c>
      <c r="X10" s="229">
        <f>IF(ISNUMBER(Datos!Q10),Datos!Q10," - ")</f>
        <v>0</v>
      </c>
      <c r="Y10" s="337">
        <f t="shared" ref="Y10:Y12" si="0">SUM(W10:X10)</f>
        <v>43</v>
      </c>
      <c r="Z10" s="338" t="str">
        <f>IF(ISNUMBER(Datos!CC10),Datos!CC10," - ")</f>
        <v xml:space="preserve"> - </v>
      </c>
      <c r="AA10" s="335">
        <f>IF(ISNUMBER(Datos!L10),Datos!L10,"-")</f>
        <v>33</v>
      </c>
      <c r="AB10" s="337">
        <f>IF(ISNUMBER(Datos!R10),Datos!R10," - ")</f>
        <v>2</v>
      </c>
      <c r="AC10" s="337">
        <f t="shared" ref="AC10:AC12" si="1">IF(ISNUMBER(AA10+AB10),AA10+AB10," - ")</f>
        <v>35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15</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8.4418604651162799</v>
      </c>
      <c r="AN10" s="247">
        <f>IF(ISNUMBER('Resol  Asuntos'!D10/NºAsuntos!G10),'Resol  Asuntos'!D10/NºAsuntos!G10," - ")</f>
        <v>0.34883720930232559</v>
      </c>
      <c r="AO10" s="248">
        <f>IF(ISNUMBER((NºAsuntos!C10+NºAsuntos!E10)/NºAsuntos!G10),(NºAsuntos!C10+NºAsuntos!E10)/NºAsuntos!G10," - ")</f>
        <v>1.7674418604651163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604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431</v>
      </c>
      <c r="Y12" s="337">
        <f t="shared" si="0"/>
        <v>431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2769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572</v>
      </c>
      <c r="AJ12" s="232" t="str">
        <f>IF(ISNUMBER(Datos!BW12),Datos!BW12," - ")</f>
        <v xml:space="preserve"> - </v>
      </c>
      <c r="AK12" s="231" t="str">
        <f>IF(ISNUMBER(Datos!BX12),Datos!BX12," - ")</f>
        <v xml:space="preserve"> - </v>
      </c>
      <c r="AL12" s="246">
        <f>IF(ISNUMBER(NºAsuntos!G12/NºAsuntos!E12),NºAsuntos!G12/NºAsuntos!E12," - ")</f>
        <v>0.81370885646420088</v>
      </c>
      <c r="AM12" s="263">
        <f>IF(ISNUMBER(((NºAsuntos!I12/NºAsuntos!G12)*11)/factor_trimestre),((NºAsuntos!I12/NºAsuntos!G12)*11)/factor_trimestre," - ")</f>
        <v>12.229357798165138</v>
      </c>
      <c r="AN12" s="247">
        <f>IF(ISNUMBER('Resol  Asuntos'!D12/NºAsuntos!G12),'Resol  Asuntos'!D12/NºAsuntos!G12," - ")</f>
        <v>0.23853211009174313</v>
      </c>
      <c r="AO12" s="248">
        <f>IF(ISNUMBER((NºAsuntos!C12+NºAsuntos!E12)/NºAsuntos!G12),(NºAsuntos!C12+NºAsuntos!E12)/NºAsuntos!G12," - ")</f>
        <v>2.2522935779816513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33</v>
      </c>
      <c r="G13" s="869">
        <f t="shared" si="3"/>
        <v>33</v>
      </c>
      <c r="H13" s="868">
        <f t="shared" si="3"/>
        <v>0</v>
      </c>
      <c r="I13" s="870">
        <f t="shared" si="3"/>
        <v>0</v>
      </c>
      <c r="J13" s="870">
        <f t="shared" si="3"/>
        <v>0</v>
      </c>
      <c r="K13" s="870">
        <f t="shared" si="3"/>
        <v>0</v>
      </c>
      <c r="L13" s="870">
        <f t="shared" si="3"/>
        <v>604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43</v>
      </c>
      <c r="X13" s="870">
        <f t="shared" si="4"/>
        <v>431</v>
      </c>
      <c r="Y13" s="871">
        <f t="shared" si="4"/>
        <v>474</v>
      </c>
      <c r="Z13" s="871">
        <f t="shared" si="4"/>
        <v>0</v>
      </c>
      <c r="AA13" s="871">
        <f t="shared" si="4"/>
        <v>33</v>
      </c>
      <c r="AB13" s="871">
        <f t="shared" si="4"/>
        <v>2771</v>
      </c>
      <c r="AC13" s="871">
        <f t="shared" si="4"/>
        <v>35</v>
      </c>
      <c r="AD13" s="871">
        <f t="shared" si="4"/>
        <v>0</v>
      </c>
      <c r="AE13" s="875">
        <f t="shared" si="4"/>
        <v>0</v>
      </c>
      <c r="AF13" s="868">
        <f t="shared" si="4"/>
        <v>0</v>
      </c>
      <c r="AG13" s="876">
        <f t="shared" si="4"/>
        <v>0</v>
      </c>
      <c r="AH13" s="873">
        <f t="shared" si="4"/>
        <v>0</v>
      </c>
      <c r="AI13" s="868">
        <f t="shared" si="4"/>
        <v>587</v>
      </c>
      <c r="AJ13" s="870">
        <f t="shared" si="4"/>
        <v>0</v>
      </c>
      <c r="AK13" s="873">
        <f>SUBTOTAL(9,AK9:AK12)</f>
        <v>0</v>
      </c>
      <c r="AL13" s="877">
        <f>IF(ISNUMBER(NºAsuntos!G13/NºAsuntos!E13),NºAsuntos!G13/NºAsuntos!E13," - ")</f>
        <v>0.8163879598662207</v>
      </c>
      <c r="AM13" s="877">
        <f>IF(ISNUMBER(((NºAsuntos!I13/NºAsuntos!G13)*11)/factor_trimestre),((NºAsuntos!I13/NºAsuntos!G13)*11)/factor_trimestre," - ")</f>
        <v>12.162638263006963</v>
      </c>
      <c r="AN13" s="878">
        <f>IF(ISNUMBER('Resol  Asuntos'!D13/NºAsuntos!G13),'Resol  Asuntos'!D13/NºAsuntos!G13," - ")</f>
        <v>0.24047521507578862</v>
      </c>
      <c r="AO13" s="879">
        <f>IF(ISNUMBER((NºAsuntos!C13+NºAsuntos!E13)/NºAsuntos!G13),(NºAsuntos!C13+NºAsuntos!E13)/NºAsuntos!G13," - ")</f>
        <v>2.2437525604260551</v>
      </c>
      <c r="AP13" s="880" t="str">
        <f t="shared" si="2"/>
        <v xml:space="preserve"> - </v>
      </c>
      <c r="AQ13" s="880">
        <f>IF(ISNUMBER((H13-W13+K13)/(F13)),(H13-W13+K13)/(F13)," - ")</f>
        <v>-1.303030303030303</v>
      </c>
      <c r="AR13" s="881">
        <f>IF(ISNUMBER((Datos!P13-Datos!Q13)/(Datos!R13-Datos!P13+Datos!Q13)),(Datos!P13-Datos!Q13)/(Datos!R13-Datos!P13+Datos!Q13)," - ")</f>
        <v>6.6589684372594299E-2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1321</v>
      </c>
      <c r="G16" s="336">
        <f>IF(ISNUMBER(IF(D_I="SI",Datos!I16,Datos!I16+Datos!AC16)),IF(D_I="SI",Datos!I16,Datos!I16+Datos!AC16)," - ")</f>
        <v>1268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4254</v>
      </c>
      <c r="X16" s="229">
        <f>IF(ISNUMBER(Datos!Q16),Datos!Q16," - ")</f>
        <v>124</v>
      </c>
      <c r="Y16" s="337">
        <f t="shared" ref="Y16:Y17" si="7">SUM(W16:X16)</f>
        <v>4378</v>
      </c>
      <c r="Z16" s="338" t="str">
        <f>IF(ISNUMBER(Datos!CC16),Datos!CC16," - ")</f>
        <v xml:space="preserve"> - </v>
      </c>
      <c r="AA16" s="335">
        <f>IF(ISNUMBER(IF(D_I="SI",Datos!L16,Datos!L16+Datos!AF16)),IF(D_I="SI",Datos!L16,Datos!L16+Datos!AF16)," - ")</f>
        <v>1551</v>
      </c>
      <c r="AB16" s="337">
        <f>IF(ISNUMBER(Datos!R16),Datos!R16," - ")</f>
        <v>105</v>
      </c>
      <c r="AC16" s="337">
        <f t="shared" si="6"/>
        <v>1656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478</v>
      </c>
      <c r="AJ16" s="234" t="str">
        <f>IF(ISNUMBER(Datos!BW16),Datos!BW16," - ")</f>
        <v xml:space="preserve"> - </v>
      </c>
      <c r="AK16" s="235" t="str">
        <f>IF(ISNUMBER(Datos!BX16),Datos!BX16," - ")</f>
        <v xml:space="preserve"> - </v>
      </c>
      <c r="AL16" s="246">
        <f>IF(ISNUMBER(NºAsuntos!G16/NºAsuntos!E16),NºAsuntos!G16/NºAsuntos!E16," - ")</f>
        <v>0.94870651204281886</v>
      </c>
      <c r="AM16" s="263">
        <f>IF(ISNUMBER(((NºAsuntos!I16/NºAsuntos!G16)*11)/factor_trimestre),((NºAsuntos!I16/NºAsuntos!G16)*11)/factor_trimestre," - ")</f>
        <v>4.0105782792665723</v>
      </c>
      <c r="AN16" s="247">
        <f>IF(ISNUMBER('Resol  Asuntos'!D16/NºAsuntos!G16),'Resol  Asuntos'!D16/NºAsuntos!G16," - ")</f>
        <v>0.11236483309826047</v>
      </c>
      <c r="AO16" s="248">
        <f>IF(ISNUMBER((NºAsuntos!C16+NºAsuntos!E16)/NºAsuntos!G16),(NºAsuntos!C16+NºAsuntos!E16)/NºAsuntos!G16," - ")</f>
        <v>1.3521391631405735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345</v>
      </c>
      <c r="X17" s="229">
        <f>IF(ISNUMBER(Datos!Q17),Datos!Q17," - ")</f>
        <v>2</v>
      </c>
      <c r="Y17" s="337">
        <f t="shared" si="7"/>
        <v>347</v>
      </c>
      <c r="Z17" s="338" t="str">
        <f>IF(ISNUMBER(Datos!CC17),Datos!CC17," - ")</f>
        <v xml:space="preserve"> - </v>
      </c>
      <c r="AA17" s="335">
        <f>IF(ISNUMBER(Datos!L17),Datos!L17,"-")</f>
        <v>45</v>
      </c>
      <c r="AB17" s="337">
        <f>IF(ISNUMBER(Datos!R17),Datos!R17," - ")</f>
        <v>0</v>
      </c>
      <c r="AC17" s="337">
        <f t="shared" si="6"/>
        <v>45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46</v>
      </c>
      <c r="AJ17" s="234" t="str">
        <f>IF(ISNUMBER(Datos!BW17),Datos!BW17," - ")</f>
        <v xml:space="preserve"> - </v>
      </c>
      <c r="AK17" s="235" t="str">
        <f>IF(ISNUMBER(Datos!BX17),Datos!BX17," - ")</f>
        <v xml:space="preserve"> - </v>
      </c>
      <c r="AL17" s="246">
        <f>IF(ISNUMBER(NºAsuntos!G17/NºAsuntos!E17),NºAsuntos!G17/NºAsuntos!E17," - ")</f>
        <v>0.94262295081967218</v>
      </c>
      <c r="AM17" s="263">
        <f>IF(ISNUMBER(((NºAsuntos!I17/NºAsuntos!G17)*11)/factor_trimestre),((NºAsuntos!I17/NºAsuntos!G17)*11)/factor_trimestre," - ")</f>
        <v>1.4347826086956521</v>
      </c>
      <c r="AN17" s="247">
        <f>IF(ISNUMBER('Resol  Asuntos'!D17/NºAsuntos!G17),'Resol  Asuntos'!D17/NºAsuntos!G17," - ")</f>
        <v>0.13333333333333333</v>
      </c>
      <c r="AO17" s="248">
        <f>IF(ISNUMBER((NºAsuntos!C17+NºAsuntos!E17)/NºAsuntos!G17),(NºAsuntos!C17+NºAsuntos!E17)/NºAsuntos!G17," - ")</f>
        <v>1.1507246376811595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1321</v>
      </c>
      <c r="G18" s="869">
        <f>SUBTOTAL(9,G15:G17)</f>
        <v>1299</v>
      </c>
      <c r="H18" s="868">
        <f t="shared" ref="H18:O18" si="10">SUBTOTAL(9,H14:H17)</f>
        <v>0</v>
      </c>
      <c r="I18" s="870">
        <f t="shared" si="10"/>
        <v>0</v>
      </c>
      <c r="J18" s="870">
        <f t="shared" si="10"/>
        <v>0</v>
      </c>
      <c r="K18" s="870">
        <f t="shared" si="10"/>
        <v>0</v>
      </c>
      <c r="L18" s="870">
        <f t="shared" si="10"/>
        <v>90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4599</v>
      </c>
      <c r="X18" s="870">
        <f t="shared" si="11"/>
        <v>126</v>
      </c>
      <c r="Y18" s="871">
        <f t="shared" si="11"/>
        <v>4725</v>
      </c>
      <c r="Z18" s="871">
        <f t="shared" si="11"/>
        <v>0</v>
      </c>
      <c r="AA18" s="871">
        <f t="shared" si="11"/>
        <v>1596</v>
      </c>
      <c r="AB18" s="871">
        <f t="shared" si="11"/>
        <v>105</v>
      </c>
      <c r="AC18" s="871">
        <f t="shared" si="11"/>
        <v>1701</v>
      </c>
      <c r="AD18" s="871">
        <f t="shared" si="11"/>
        <v>0</v>
      </c>
      <c r="AE18" s="875">
        <f t="shared" si="11"/>
        <v>0</v>
      </c>
      <c r="AF18" s="868">
        <f t="shared" si="11"/>
        <v>0</v>
      </c>
      <c r="AG18" s="876">
        <f t="shared" si="11"/>
        <v>0</v>
      </c>
      <c r="AH18" s="873">
        <f t="shared" si="11"/>
        <v>0</v>
      </c>
      <c r="AI18" s="868">
        <f t="shared" si="11"/>
        <v>524</v>
      </c>
      <c r="AJ18" s="870">
        <f t="shared" si="11"/>
        <v>0</v>
      </c>
      <c r="AK18" s="873">
        <f t="shared" si="11"/>
        <v>0</v>
      </c>
      <c r="AL18" s="877">
        <f>IF(ISNUMBER(NºAsuntos!G18/NºAsuntos!E18),NºAsuntos!G18/NºAsuntos!E18," - ")</f>
        <v>0.9482474226804124</v>
      </c>
      <c r="AM18" s="877">
        <f>IF(ISNUMBER(((NºAsuntos!I18/NºAsuntos!G18)*11)/factor_trimestre),((NºAsuntos!I18/NºAsuntos!G18)*11)/factor_trimestre," - ")</f>
        <v>3.8173515981735155</v>
      </c>
      <c r="AN18" s="878">
        <f>IF(ISNUMBER('Resol  Asuntos'!D18/NºAsuntos!G18),'Resol  Asuntos'!D18/NºAsuntos!G18," - ")</f>
        <v>0.11393781256794955</v>
      </c>
      <c r="AO18" s="879">
        <f>IF(ISNUMBER((NºAsuntos!C18+NºAsuntos!E18)/NºAsuntos!G18),(NºAsuntos!C18+NºAsuntos!E18)/NºAsuntos!G18," - ")</f>
        <v>1.3370297890845837</v>
      </c>
      <c r="AP18" s="880" t="str">
        <f t="shared" si="2"/>
        <v xml:space="preserve"> - </v>
      </c>
      <c r="AQ18" s="880">
        <f>IF(ISNUMBER((H18-W18+K18)/(F18)),(H18-W18+K18)/(F18)," - ")</f>
        <v>-3.4814534443603331</v>
      </c>
      <c r="AR18" s="881">
        <f>IF(ISNUMBER((Datos!P18-Datos!Q18)/(Datos!R18-Datos!P18+Datos!Q18)),(Datos!P18-Datos!Q18)/(Datos!R18-Datos!P18+Datos!Q18)," - ")</f>
        <v>-0.25531914893617019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1354</v>
      </c>
      <c r="G19" s="824">
        <f t="shared" si="13"/>
        <v>1332</v>
      </c>
      <c r="H19" s="823">
        <f t="shared" si="13"/>
        <v>0</v>
      </c>
      <c r="I19" s="825">
        <f t="shared" si="13"/>
        <v>0</v>
      </c>
      <c r="J19" s="825">
        <f t="shared" si="13"/>
        <v>0</v>
      </c>
      <c r="K19" s="884">
        <f t="shared" si="13"/>
        <v>0</v>
      </c>
      <c r="L19" s="825">
        <f t="shared" si="13"/>
        <v>694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4642</v>
      </c>
      <c r="X19" s="824">
        <f t="shared" si="14"/>
        <v>557</v>
      </c>
      <c r="Y19" s="831">
        <f t="shared" si="14"/>
        <v>5199</v>
      </c>
      <c r="Z19" s="831">
        <f t="shared" si="14"/>
        <v>0</v>
      </c>
      <c r="AA19" s="831">
        <f t="shared" si="14"/>
        <v>1629</v>
      </c>
      <c r="AB19" s="831">
        <f t="shared" si="14"/>
        <v>2876</v>
      </c>
      <c r="AC19" s="831">
        <f t="shared" si="14"/>
        <v>1736</v>
      </c>
      <c r="AD19" s="831">
        <f t="shared" si="14"/>
        <v>0</v>
      </c>
      <c r="AE19" s="833">
        <f t="shared" si="14"/>
        <v>0</v>
      </c>
      <c r="AF19" s="834">
        <f t="shared" si="14"/>
        <v>0</v>
      </c>
      <c r="AG19" s="835">
        <f t="shared" si="14"/>
        <v>0</v>
      </c>
      <c r="AH19" s="833">
        <f t="shared" si="14"/>
        <v>0</v>
      </c>
      <c r="AI19" s="823">
        <f t="shared" si="14"/>
        <v>1111</v>
      </c>
      <c r="AJ19" s="823">
        <f t="shared" si="14"/>
        <v>0</v>
      </c>
      <c r="AK19" s="833">
        <f t="shared" si="14"/>
        <v>0</v>
      </c>
      <c r="AL19" s="887">
        <f>IF(ISNUMBER(NºAsuntos!G19/NºAsuntos!E19),NºAsuntos!G19/NºAsuntos!E19," - ")</f>
        <v>0.89795918367346939</v>
      </c>
      <c r="AM19" s="888">
        <f>IF(ISNUMBER(((NºAsuntos!I19/NºAsuntos!G19)*11)/factor_trimestre),((NºAsuntos!I19/NºAsuntos!G19)*11)/factor_trimestre," - ")</f>
        <v>6.7109375</v>
      </c>
      <c r="AN19" s="888">
        <f>IF(ISNUMBER('Resol  Asuntos'!D19/NºAsuntos!G19),'Resol  Asuntos'!D19/NºAsuntos!G19," - ")</f>
        <v>0.15781249999999999</v>
      </c>
      <c r="AO19" s="889">
        <f>IF(ISNUMBER((NºAsuntos!C19+NºAsuntos!E19)/NºAsuntos!G19),(NºAsuntos!C19+NºAsuntos!E19)/NºAsuntos!G19," - ")</f>
        <v>1.6514204545454545</v>
      </c>
      <c r="AP19" s="890" t="str">
        <f t="shared" si="2"/>
        <v xml:space="preserve"> - </v>
      </c>
      <c r="AQ19" s="891">
        <f>IF(OR(ISNUMBER(FIND("01",Criterios!A8,1)),ISNUMBER(FIND("02",Criterios!A8,1)),ISNUMBER(FIND("03",Criterios!A8,1)),ISNUMBER(FIND("04",Criterios!A8,1))),(I19-W19+K19)/(F19-K19),(H19-W19+K19)/(F19-K19))</f>
        <v>-3.4283604135893651</v>
      </c>
      <c r="AR19" s="892">
        <f>IF(ISNUMBER((Datos!P19-Datos!Q19)/(Datos!R19-Datos!P19+Datos!Q19)),(Datos!P19-Datos!Q19)/(Datos!R19-Datos!P19+Datos!Q19)," - ")</f>
        <v>5.0018254837531945E-2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532.79999999999995</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743.62714671623803</v>
      </c>
      <c r="G21" s="256">
        <f>IF(ISNUMBER(STDEV(G8:G18)),STDEV(G8:G18),"-")</f>
        <v>685.38033237028333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2352.2068786567224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266.18539904860796</v>
      </c>
      <c r="AJ21" s="255">
        <f t="shared" si="18"/>
        <v>0</v>
      </c>
      <c r="AK21" s="257">
        <f t="shared" si="18"/>
        <v>0</v>
      </c>
      <c r="AL21" s="252">
        <f t="shared" si="18"/>
        <v>7.7646529821384286E-2</v>
      </c>
      <c r="AM21" s="253">
        <f t="shared" si="18"/>
        <v>4.6068202014169648</v>
      </c>
      <c r="AN21" s="253">
        <f t="shared" si="18"/>
        <v>9.4636594952011793E-2</v>
      </c>
      <c r="AO21" s="254">
        <f t="shared" si="18"/>
        <v>0.48127862083784156</v>
      </c>
      <c r="AP21" s="294" t="str">
        <f t="shared" si="18"/>
        <v>-</v>
      </c>
      <c r="AQ21" s="295">
        <f t="shared" si="18"/>
        <v>1.5403777755281647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qs0QidkCMA2sgXtrvdpZSBnHVyyHLrqkjjdlzIx1ZvUo0lyIUoZYB7//jUMY/DJgu0ErbxPylrMDIpZ/5xKsMw==" saltValue="Tm9R/gC2B3EFY8UIcK2Zb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ARCOS DE LA FRONTERA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0.13793103448275862</v>
      </c>
      <c r="E10" s="351">
        <f>IF(ISNUMBER((Datos!J10-Datos!T10)/Datos!T10),(Datos!J10-Datos!T10)/Datos!T10," - ")</f>
        <v>2.3809523809523808E-2</v>
      </c>
      <c r="F10" s="351">
        <f>IF(ISNUMBER((Datos!K10-Datos!U10)/Datos!U10),(Datos!K10-Datos!U10)/Datos!U10," - ")</f>
        <v>0.95454545454545459</v>
      </c>
      <c r="G10" s="352">
        <f>IF(ISNUMBER((Datos!L10-Datos!V10)/Datos!V10),(Datos!L10-Datos!V10)/Datos!V10," - ")</f>
        <v>0</v>
      </c>
      <c r="H10" s="233">
        <f>IF(ISNUMBER((Datos!M10-Datos!W10)/Datos!W10),(Datos!M10-Datos!W10)/Datos!W10," - ")</f>
        <v>7.1428571428571425E-2</v>
      </c>
      <c r="I10" s="353">
        <f>IF(ISNUMBER((Tasas!C10-Datos!BE10)/Datos!BE10),(Tasas!C10-Datos!BE10)/Datos!BE10," - ")</f>
        <v>-0.48837209302325579</v>
      </c>
      <c r="J10" s="352">
        <f>IF(ISNUMBER((Tasas!D10-Datos!BF10)/Datos!BF10),(Tasas!D10-Datos!BF10)/Datos!BF10," - ")</f>
        <v>-0.45182724252491691</v>
      </c>
      <c r="K10" s="354">
        <f>IF(ISNUMBER((Tasas!E10-Datos!BG10)/Datos!BG10),(Tasas!E10-Datos!BG10)/Datos!BG10," - ")</f>
        <v>-0.45234195872911886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-9.7791798107255523E-2</v>
      </c>
      <c r="I12" s="353">
        <f>IF(ISNUMBER((Tasas!C12-Datos!BE12)/Datos!BE12),(Tasas!C12-Datos!BE12)/Datos!BE12," - ")</f>
        <v>0.23272144064634137</v>
      </c>
      <c r="J12" s="352">
        <f>IF(ISNUMBER((Tasas!D12-Datos!BF12)/Datos!BF12),(Tasas!D12-Datos!BF12)/Datos!BF12," - ")</f>
        <v>-0.34900113183587461</v>
      </c>
      <c r="K12" s="354">
        <f>IF(ISNUMBER((Tasas!E12-Datos!BG12)/Datos!BG12),(Tasas!E12-Datos!BG12)/Datos!BG12," - ")</f>
        <v>0.16755397707907657</v>
      </c>
      <c r="M12" t="e">
        <f>IF(Monitorios="SI",Datos!CE12,0)</f>
        <v>#REF!</v>
      </c>
      <c r="N12" t="e">
        <f>IF(Monitorios="SI",Datos!CF12,0)</f>
        <v>#REF!</v>
      </c>
      <c r="O12" t="e">
        <f>IF(Monitorios="SI",Datos!CG12,0)</f>
        <v>#REF!</v>
      </c>
      <c r="P12" t="e">
        <f>IF(Monitorios="SI",Datos!CH12,0)</f>
        <v>#REF!</v>
      </c>
      <c r="Q12">
        <f>IF(J_V="SI",0,Datos!AG12)</f>
        <v>36</v>
      </c>
      <c r="R12">
        <f>IF(J_V="SI",0,Datos!AH12)</f>
        <v>209</v>
      </c>
      <c r="S12">
        <f>IF(J_V="SI",0,Datos!AI12)</f>
        <v>167</v>
      </c>
      <c r="T12">
        <f>IF(J_V="SI",0,Datos!AJ12)</f>
        <v>75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-9.4135802469135804E-2</v>
      </c>
      <c r="I13" s="360">
        <f>IF(ISNUMBER((Tasas!C13-Datos!BE13)/Datos!BE13),(Tasas!C13-Datos!BE13)/Datos!BE13," - ")</f>
        <v>0.2195093305343459</v>
      </c>
      <c r="J13" s="358">
        <f>IF(ISNUMBER((Tasas!D13-Datos!BF13)/Datos!BF13),(Tasas!D13-Datos!BF13)/Datos!BF13," - ")</f>
        <v>-0.34755339767271198</v>
      </c>
      <c r="K13" s="361">
        <f>IF(ISNUMBER((Tasas!E13-Datos!BG13)/Datos!BG13),(Tasas!E13-Datos!BG13)/Datos!BG13," - ")</f>
        <v>0.15688219421967467</v>
      </c>
      <c r="M13" t="e">
        <f>IF(Monitorios="SI",Datos!CE13,0)</f>
        <v>#REF!</v>
      </c>
      <c r="N13" t="e">
        <f>IF(Monitorios="SI",Datos!CF13,0)</f>
        <v>#REF!</v>
      </c>
      <c r="O13" t="e">
        <f>IF(Monitorios="SI",Datos!CG13,0)</f>
        <v>#REF!</v>
      </c>
      <c r="P13" t="e">
        <f>IF(Monitorios="SI",Datos!CH13,0)</f>
        <v>#REF!</v>
      </c>
      <c r="Q13">
        <f>IF(J_V="SI",0,Datos!AG13)</f>
        <v>36</v>
      </c>
      <c r="R13">
        <f>IF(J_V="SI",0,Datos!AH13)</f>
        <v>209</v>
      </c>
      <c r="S13">
        <f>IF(J_V="SI",0,Datos!AI13)</f>
        <v>167</v>
      </c>
      <c r="T13">
        <f>IF(J_V="SI",0,Datos!AJ13)</f>
        <v>75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0.46759259259259262</v>
      </c>
      <c r="E16" s="351">
        <f>IF(ISNUMBER(
   IF(D_I="SI",(Datos!J16-Datos!T16)/Datos!T16,(Datos!J16+Datos!AD16-(Datos!T16+Datos!AL16))/(Datos!T16+Datos!AL16))
     ),IF(D_I="SI",(Datos!J16-Datos!T16)/Datos!T16,(Datos!J16+Datos!AD16-(Datos!T16+Datos!AL16))/(Datos!T16+Datos!AL16))," - ")</f>
        <v>5.8795749704840611E-2</v>
      </c>
      <c r="F16" s="351">
        <f>IF(ISNUMBER(
   IF(D_I="SI",(Datos!K16-Datos!U16)/Datos!U16,(Datos!K16+Datos!AE16-(Datos!U16+Datos!AM16))/(Datos!U16+Datos!AM16))
     ),IF(D_I="SI",(Datos!K16-Datos!U16)/Datos!U16,(Datos!K16+Datos!AE16-(Datos!U16+Datos!AM16))/(Datos!U16+Datos!AM16))," - ")</f>
        <v>0.19527957291373982</v>
      </c>
      <c r="G16" s="352">
        <f>IF(ISNUMBER(
   IF(D_I="SI",(Datos!L16-Datos!V16)/Datos!V16,(Datos!L16+Datos!AF16-(Datos!V16+Datos!AN16))/(Datos!V16+Datos!AN16))
     ),IF(D_I="SI",(Datos!L16-Datos!V16)/Datos!V16,(Datos!L16+Datos!AF16-(Datos!V16+Datos!AN16))/(Datos!V16+Datos!AN16))," - ")</f>
        <v>0.22318611987381703</v>
      </c>
      <c r="H16" s="233">
        <f>IF(ISNUMBER((Datos!M16-Datos!W16)/Datos!W16),(Datos!M16-Datos!W16)/Datos!W16," - ")</f>
        <v>-7.3643410852713184E-2</v>
      </c>
      <c r="I16" s="353">
        <f>IF(ISNUMBER((Tasas!C16-Datos!BE16)/Datos!BE16),(Tasas!C16-Datos!BE16)/Datos!BE16," - ")</f>
        <v>2.3347296810276214E-2</v>
      </c>
      <c r="J16" s="352">
        <f>IF(ISNUMBER((Tasas!D16-Datos!BF16)/Datos!BF16),(Tasas!D16-Datos!BF16)/Datos!BF16," - ")</f>
        <v>-0.22498751744823836</v>
      </c>
      <c r="K16" s="354">
        <f>IF(ISNUMBER((Tasas!E16-Datos!BG16)/Datos!BG16),(Tasas!E16-Datos!BG16)/Datos!BG16," - ")</f>
        <v>-5.6233912214689007E-2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v>
      </c>
      <c r="E17" s="351">
        <f>IF(ISNUMBER(
   IF(D_I="SI",(Datos!J17-Datos!T17)/Datos!T17,(Datos!J17+Datos!AD17-(Datos!T17+Datos!AL17))/(Datos!T17+Datos!AL17))
     ),IF(D_I="SI",(Datos!J17-Datos!T17)/Datos!T17,(Datos!J17+Datos!AD17-(Datos!T17+Datos!AL17))/(Datos!T17+Datos!AL17))," - ")</f>
        <v>-0.14084507042253522</v>
      </c>
      <c r="F17" s="351">
        <f>IF(ISNUMBER(
   IF(D_I="SI",(Datos!K17-Datos!U17)/Datos!U17,(Datos!K17+Datos!AE17-(Datos!U17+Datos!AM17))/(Datos!U17+Datos!AM17))
     ),IF(D_I="SI",(Datos!K17-Datos!U17)/Datos!U17,(Datos!K17+Datos!AE17-(Datos!U17+Datos!AM17))/(Datos!U17+Datos!AM17))," - ")</f>
        <v>-0.1396508728179551</v>
      </c>
      <c r="G17" s="352">
        <f>IF(ISNUMBER(
   IF(D_I="SI",(Datos!L17-Datos!V17)/Datos!V17,(Datos!L17+Datos!AF17-(Datos!V17+Datos!AN17))/(Datos!V17+Datos!AN17))
     ),IF(D_I="SI",(Datos!L17-Datos!V17)/Datos!V17,(Datos!L17+Datos!AF17-(Datos!V17+Datos!AN17))/(Datos!V17+Datos!AN17))," - ")</f>
        <v>0.45161290322580644</v>
      </c>
      <c r="H17" s="233">
        <f>IF(ISNUMBER((Datos!M17-Datos!W17)/Datos!W17),(Datos!M17-Datos!W17)/Datos!W17," - ")</f>
        <v>-4.1666666666666664E-2</v>
      </c>
      <c r="I17" s="353">
        <f>IF(ISNUMBER((Tasas!C17-Datos!BE17)/Datos!BE17),(Tasas!C17-Datos!BE17)/Datos!BE17," - ")</f>
        <v>0.68723702664796626</v>
      </c>
      <c r="J17" s="352">
        <f>IF(ISNUMBER((Tasas!D17-Datos!BF17)/Datos!BF17),(Tasas!D17-Datos!BF17)/Datos!BF17," - ")</f>
        <v>0.1138888888888889</v>
      </c>
      <c r="K17" s="354">
        <f>IF(ISNUMBER((Tasas!E17-Datos!BG17)/Datos!BG17),(Tasas!E17-Datos!BG17)/Datos!BG17," - ")</f>
        <v>9.7168046173850761E-3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0.45139664804469276</v>
      </c>
      <c r="E18" s="357">
        <f>IF(ISNUMBER(
   IF(D_I="SI",(Datos!J18-Datos!T18)/Datos!T18,(Datos!J18+Datos!AD18-(Datos!T18+Datos!AL18))/(Datos!T18+Datos!AL18))
     ),IF(D_I="SI",(Datos!J18-Datos!T18)/Datos!T18,(Datos!J18+Datos!AD18-(Datos!T18+Datos!AL18))/(Datos!T18+Datos!AL18))," - ")</f>
        <v>4.0549238360866768E-2</v>
      </c>
      <c r="F18" s="357">
        <f>IF(ISNUMBER(
   IF(D_I="SI",(Datos!K18-Datos!U18)/Datos!U18,(Datos!K18+Datos!AE18-(Datos!U18+Datos!AM18))/(Datos!U18+Datos!AM18))
     ),IF(D_I="SI",(Datos!K18-Datos!U18)/Datos!U18,(Datos!K18+Datos!AE18-(Datos!U18+Datos!AM18))/(Datos!U18+Datos!AM18))," - ")</f>
        <v>0.16136363636363638</v>
      </c>
      <c r="G18" s="358">
        <f>IF(ISNUMBER(
   IF(D_I="SI",(Datos!L18-Datos!V18)/Datos!V18,(Datos!L18+Datos!AF18-(Datos!V18+Datos!AN18))/(Datos!V18+Datos!AN18))
     ),IF(D_I="SI",(Datos!L18-Datos!V18)/Datos!V18,(Datos!L18+Datos!AF18-(Datos!V18+Datos!AN18))/(Datos!V18+Datos!AN18))," - ")</f>
        <v>0.22863741339491916</v>
      </c>
      <c r="H18" s="359">
        <f>IF(ISNUMBER((Datos!M18-Datos!W18)/Datos!W18),(Datos!M18-Datos!W18)/Datos!W18," - ")</f>
        <v>-7.0921985815602842E-2</v>
      </c>
      <c r="I18" s="360">
        <f>IF(ISNUMBER((Tasas!C18-Datos!BE18)/Datos!BE18),(Tasas!C18-Datos!BE18)/Datos!BE18," - ")</f>
        <v>5.7926539909519459E-2</v>
      </c>
      <c r="J18" s="358">
        <f>IF(ISNUMBER((Tasas!D18-Datos!BF18)/Datos!BF18),(Tasas!D18-Datos!BF18)/Datos!BF18," - ")</f>
        <v>-0.20001110324631169</v>
      </c>
      <c r="K18" s="361">
        <f>IF(ISNUMBER((Tasas!E18-Datos!BG18)/Datos!BG18),(Tasas!E18-Datos!BG18)/Datos!BG18," - ")</f>
        <v>-4.704140302826651E-2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0.18349484213816819</v>
      </c>
      <c r="E19" s="366">
        <f>IF(ISNUMBER(
   IF(J_V="SI",(Datos!J19-Datos!T19)/Datos!T19,(Datos!J19+Datos!Z19-(Datos!T19+Datos!AH19))/(Datos!T19+Datos!AH19))
     ),IF(J_V="SI",(Datos!J19-Datos!T19)/Datos!T19,(Datos!J19+Datos!Z19-(Datos!T19+Datos!AH19))/(Datos!T19+Datos!AH19))," - ")</f>
        <v>2.1232252181841865E-2</v>
      </c>
      <c r="F19" s="366">
        <f>IF(ISNUMBER(
   IF(J_V="SI",(Datos!K19-Datos!U19)/Datos!U19,(Datos!K19+Datos!AA19-(Datos!U19+Datos!AI19))/(Datos!U19+Datos!AI19))
     ),IF(J_V="SI",(Datos!K19-Datos!U19)/Datos!U19,(Datos!K19+Datos!AA19-(Datos!U19+Datos!AI19))/(Datos!U19+Datos!AI19))," - ")</f>
        <v>5.0275995822765929E-2</v>
      </c>
      <c r="G19" s="367">
        <f>IF(ISNUMBER(
   IF(J_V="SI",(Datos!L19-Datos!V19)/Datos!V19,(Datos!L19+Datos!AB19-(Datos!V19+Datos!AJ19))/(Datos!V19+Datos!AJ19))
     ),IF(J_V="SI",(Datos!L19-Datos!V19)/Datos!V19,(Datos!L19+Datos!AB19-(Datos!V19+Datos!AJ19))/(Datos!V19+Datos!AJ19))," - ")</f>
        <v>0.13444268357105124</v>
      </c>
      <c r="H19" s="368">
        <f>IF(ISNUMBER((Datos!M19-Datos!W19)/Datos!W19),(Datos!M19-Datos!W19)/Datos!W19," - ")</f>
        <v>-8.3333333333333329E-2</v>
      </c>
      <c r="I19" s="365">
        <f>IF(ISNUMBER((Tasas!C19-Datos!BE19)/Datos!BE19),(Tasas!C19-Datos!BE19)/Datos!BE19," - ")</f>
        <v>8.0137685792152899E-2</v>
      </c>
      <c r="J19" s="366">
        <f>IF(ISNUMBER((Tasas!D19-Datos!BF19)/Datos!BF19),(Tasas!D19-Datos!BF19)/Datos!BF19," - ")</f>
        <v>-0.32837003968253969</v>
      </c>
      <c r="K19" s="367">
        <f>IF(ISNUMBER((Tasas!E19-Datos!BG19)/Datos!BG19),(Tasas!E19-Datos!BG19)/Datos!BG19," - ")</f>
        <v>1.778882924036241E-2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0.23249130435134779</v>
      </c>
      <c r="E21" s="281">
        <f t="shared" si="1"/>
        <v>9.2063690337970086E-2</v>
      </c>
      <c r="F21" s="281">
        <f t="shared" si="1"/>
        <v>0.4660853022326592</v>
      </c>
      <c r="G21" s="282">
        <f t="shared" si="1"/>
        <v>0.18438363681176737</v>
      </c>
      <c r="H21" s="288">
        <f t="shared" si="1"/>
        <v>6.3301748047107156E-2</v>
      </c>
      <c r="I21" s="280">
        <f t="shared" si="1"/>
        <v>0.38148447847060069</v>
      </c>
      <c r="J21" s="281">
        <f t="shared" si="1"/>
        <v>0.19764527475056282</v>
      </c>
      <c r="K21" s="282">
        <f t="shared" si="1"/>
        <v>0.22565228233427315</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kGCySUKtGXa+ZMM+AoX7SiQXxFVkbw5s5woB/YysdfLKGmnI3THZQ/JXbYLGvtoGOgzSTt5J42MJdMNBG6rzg==" saltValue="171Bp7/f0MExel0E3zTQl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